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885" windowWidth="17040" windowHeight="8055" activeTab="0"/>
  </bookViews>
  <sheets>
    <sheet name="List1" sheetId="1" r:id="rId1"/>
    <sheet name="komentář" sheetId="2" r:id="rId2"/>
    <sheet name="1 - střediska" sheetId="3" r:id="rId3"/>
    <sheet name="2 - úpravy" sheetId="4" r:id="rId4"/>
    <sheet name="3 - náklady DFP" sheetId="5" r:id="rId5"/>
    <sheet name="4 - investice" sheetId="6" r:id="rId6"/>
    <sheet name="5 - ostatní" sheetId="7" r:id="rId7"/>
  </sheets>
  <externalReferences>
    <externalReference r:id="rId10"/>
    <externalReference r:id="rId11"/>
  </externalReferences>
  <definedNames>
    <definedName name="OLE_LINK1" localSheetId="6">'5 - ostatní'!#REF!</definedName>
  </definedNames>
  <calcPr fullCalcOnLoad="1"/>
</workbook>
</file>

<file path=xl/comments3.xml><?xml version="1.0" encoding="utf-8"?>
<comments xmlns="http://schemas.openxmlformats.org/spreadsheetml/2006/main">
  <authors>
    <author>Ilona Sovov?</author>
  </authors>
  <commentList>
    <comment ref="G23" authorId="0">
      <text>
        <r>
          <rPr>
            <b/>
            <sz val="9"/>
            <rFont val="Tahoma"/>
            <family val="2"/>
          </rPr>
          <t>Ilona Sovová:</t>
        </r>
        <r>
          <rPr>
            <sz val="9"/>
            <rFont val="Tahoma"/>
            <family val="2"/>
          </rPr>
          <t xml:space="preserve">
vč. SF 2 548 tis. Kč
odpisy 5 183 tis. Kč</t>
        </r>
      </text>
    </comment>
  </commentList>
</comments>
</file>

<file path=xl/sharedStrings.xml><?xml version="1.0" encoding="utf-8"?>
<sst xmlns="http://schemas.openxmlformats.org/spreadsheetml/2006/main" count="137" uniqueCount="121">
  <si>
    <t>příjmy celkem</t>
  </si>
  <si>
    <t>čerpání</t>
  </si>
  <si>
    <t>DFP</t>
  </si>
  <si>
    <t>KFL</t>
  </si>
  <si>
    <t>KPP</t>
  </si>
  <si>
    <t>KMD</t>
  </si>
  <si>
    <t>KSS</t>
  </si>
  <si>
    <t>KCH</t>
  </si>
  <si>
    <t>KFY</t>
  </si>
  <si>
    <t>KAP</t>
  </si>
  <si>
    <t>KGE</t>
  </si>
  <si>
    <t>KPV</t>
  </si>
  <si>
    <t>KRO</t>
  </si>
  <si>
    <t>KHI</t>
  </si>
  <si>
    <t>KAJ</t>
  </si>
  <si>
    <t>KTV</t>
  </si>
  <si>
    <t>KNJ</t>
  </si>
  <si>
    <t>KCL</t>
  </si>
  <si>
    <t>CPP</t>
  </si>
  <si>
    <t>Celkem</t>
  </si>
  <si>
    <t>pracoviště</t>
  </si>
  <si>
    <t>celkem</t>
  </si>
  <si>
    <t>HV</t>
  </si>
  <si>
    <t>z toho mzdy</t>
  </si>
  <si>
    <t>z toho provoz</t>
  </si>
  <si>
    <t xml:space="preserve">přij.řízení a jiné výnosy </t>
  </si>
  <si>
    <t>Čerpáno</t>
  </si>
  <si>
    <t>Zůstatek</t>
  </si>
  <si>
    <t>Rozpis čerpání</t>
  </si>
  <si>
    <t>ODV</t>
  </si>
  <si>
    <t>Rozpočet</t>
  </si>
  <si>
    <t>VÝROČNÍ ZPRÁVA</t>
  </si>
  <si>
    <t>O HOSPODAŘENÍ</t>
  </si>
  <si>
    <t xml:space="preserve">Fakulty přírodovědně-humanitní </t>
  </si>
  <si>
    <t xml:space="preserve"> a pedagogické </t>
  </si>
  <si>
    <t>Technické univerzity v Liberci</t>
  </si>
  <si>
    <t xml:space="preserve">                  </t>
  </si>
  <si>
    <t xml:space="preserve">                 doc. RNDr. Miroslav Brzezina, CSc.</t>
  </si>
  <si>
    <t xml:space="preserve">    děkan FP </t>
  </si>
  <si>
    <t xml:space="preserve">Zpracovala </t>
  </si>
  <si>
    <t>Mgr. Ilona Sovová</t>
  </si>
  <si>
    <t>tajemnice FP</t>
  </si>
  <si>
    <t>Záloha na daň z daňově neuznatelných nákladů</t>
  </si>
  <si>
    <t>samoplátci</t>
  </si>
  <si>
    <t xml:space="preserve">  HV celkem</t>
  </si>
  <si>
    <t xml:space="preserve">Příjmy </t>
  </si>
  <si>
    <t xml:space="preserve">Zůstatek  </t>
  </si>
  <si>
    <t>Stipendijní fond</t>
  </si>
  <si>
    <t xml:space="preserve">Granty </t>
  </si>
  <si>
    <t>Doplňková činnost</t>
  </si>
  <si>
    <t>Dotace</t>
  </si>
  <si>
    <t xml:space="preserve">DFP </t>
  </si>
  <si>
    <t>Záloha na neuznaný odpočet DPH 20%</t>
  </si>
  <si>
    <t>Propagační předměty FP</t>
  </si>
  <si>
    <t>OON (vč. SZZ)</t>
  </si>
  <si>
    <t xml:space="preserve">Zůstatek </t>
  </si>
  <si>
    <t xml:space="preserve">specifický výzkum </t>
  </si>
  <si>
    <t>Celkové čerpání prostředků fakulty</t>
  </si>
  <si>
    <t xml:space="preserve">Výdaje </t>
  </si>
  <si>
    <t>Příjmy</t>
  </si>
  <si>
    <t>Tabulka 1 - Rozpočet jednotlivých středisek FP</t>
  </si>
  <si>
    <t>Tabulka 2 - Úpravy rozpočtu</t>
  </si>
  <si>
    <t>Tabulka 3 - náklady děkanátu</t>
  </si>
  <si>
    <t>Tabulka 4 - čerpání investic</t>
  </si>
  <si>
    <t>Tabulka 5 - ostatní</t>
  </si>
  <si>
    <t>SFP</t>
  </si>
  <si>
    <t>CFP</t>
  </si>
  <si>
    <t>RCA</t>
  </si>
  <si>
    <t>Přepočet na provedené dislokace</t>
  </si>
  <si>
    <t>Převod prostředků KTV (5570) - splátka dluhu TUL</t>
  </si>
  <si>
    <t>Materiál, tiskopisy</t>
  </si>
  <si>
    <t>Vybrané náklady středisek</t>
  </si>
  <si>
    <t>Mimořádné odměny - fakulta</t>
  </si>
  <si>
    <t>Cestovné (doprava)</t>
  </si>
  <si>
    <t>Dary, konference, zahr.granty</t>
  </si>
  <si>
    <t>Příděl z HV</t>
  </si>
  <si>
    <t>Podíl fakulty na úhradě celoškolských nákladů</t>
  </si>
  <si>
    <t>Podíl na 20% FRIMu</t>
  </si>
  <si>
    <t>Záloha na neuznaný odpočet DPH 14%</t>
  </si>
  <si>
    <t>Podíl na úhradě fakultní režie ze zakázek DČ</t>
  </si>
  <si>
    <t>Převod z KCH ve prospěch CXI</t>
  </si>
  <si>
    <t>DPF kompenzátor</t>
  </si>
  <si>
    <t>Podíl na úhradě fakultní režie</t>
  </si>
  <si>
    <t>příspěvek + úpravy</t>
  </si>
  <si>
    <t>čerpání z dotace 1010</t>
  </si>
  <si>
    <t>Vyrovnání odpisů</t>
  </si>
  <si>
    <t>Daň</t>
  </si>
  <si>
    <t>Vyrovnání za projekt komb.stud.</t>
  </si>
  <si>
    <t>Odpisy DHM+DNM přeúčt.na fakulty</t>
  </si>
  <si>
    <t>Občerstvení</t>
  </si>
  <si>
    <t>Mzdové náklady vč. pojištění</t>
  </si>
  <si>
    <t xml:space="preserve">Telefony </t>
  </si>
  <si>
    <t>Ostatní služby (nájmy, software, publikace o fakultě)</t>
  </si>
  <si>
    <t>INV strojní a stavební</t>
  </si>
  <si>
    <t>DPF příslušenství k počítači</t>
  </si>
  <si>
    <t xml:space="preserve">KFY příslušenství k počítači </t>
  </si>
  <si>
    <t xml:space="preserve">DPF příslušenství k počítači </t>
  </si>
  <si>
    <t>DPF spoluúčast na projektu FRVŠ</t>
  </si>
  <si>
    <t>KTV stroj fitness</t>
  </si>
  <si>
    <t>HV  kateder po vyrovnání</t>
  </si>
  <si>
    <t>Převod ve prospěch KTV za činnost pro TUL</t>
  </si>
  <si>
    <t>Důvod úpravy</t>
  </si>
  <si>
    <t>Celkem za střediska</t>
  </si>
  <si>
    <t>Celkem za fakultu</t>
  </si>
  <si>
    <t>za rok 2012</t>
  </si>
  <si>
    <t xml:space="preserve">HV doplňková činnost </t>
  </si>
  <si>
    <t>HV celkem</t>
  </si>
  <si>
    <t>Hospodářský výsledek z hlavní činnosti</t>
  </si>
  <si>
    <t>Čerpání podle jednotlivých pracovišť ukazuje tabulka č. 1, podrobný přehled úprav rozpočtu tabulka č. 2,  vybrané položky čerpané z jednotlivých středisek děkanátu tabulka č. 3. Čerpání investičních a ostatních finančních prostředků fakulty doplňují tabulky č. 4 a 5. Stavební investice nebyly v roce 2012 na fakultě čerpány, jejich zůstatek z minulých let ve výši 313 tis. Kč. byl připočítán ke strojním investicím.</t>
  </si>
  <si>
    <t>Stipendia (stip.fond, dotace)</t>
  </si>
  <si>
    <t>DFP 5815</t>
  </si>
  <si>
    <t>SFP 5115</t>
  </si>
  <si>
    <t>CFP 5116</t>
  </si>
  <si>
    <t>Náklady na reprezentaci</t>
  </si>
  <si>
    <t>Poštovné, přepravné</t>
  </si>
  <si>
    <t>Režie z činností 110 a 117</t>
  </si>
  <si>
    <t>Převod do FÚP z dotace 115</t>
  </si>
  <si>
    <t>Členské příspěvky</t>
  </si>
  <si>
    <t>Ostatní drobné náklady, poplatky</t>
  </si>
  <si>
    <t>Fakulta přírodovědně-humanitní a pedagogická TUL vykázala                       ke dni 31. prosince 2012 hospodářský výsledek z hlavní činnosti ve výši   18 606 tis. Kč.                                                                                                            
Příjmy fakulty se skládaly z příspěvku MŠMT  na vzdělávací činnost a dotace na institucionální podporu ve výši 122 674 tis. Kč, úprav rozpočtu, které zohlednily finanční toky jako je HV minulého roku, příspěvky z jiných fakult, z režií grantů a z rektorátu (viz list 2 - úpravy), a z vlastních příjmů fakulty.                                                                                                                                                     Na základě žádosti podané MŠMT jsme v průběhu roku získali ještě příspěvek 1 milion Kč na podporu nespecifikovaných výsledků vědecké a umělecké   činnosti. Tento příspěvek byl pod číslem 1010 rozdělen na vybrané katedry ( viz sl. I v listu 1-střediska).                                                                                                                                     
Zakázky doplňkové činnosti přinesly výnos ve výši 487 tis. Kč.</t>
  </si>
  <si>
    <t>Schváleno akademickým senátem FP TUL dne: 21.5.2013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</si>
</sst>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 ;[Red]\-0\ "/>
    <numFmt numFmtId="168" formatCode="#,##0_ ;[Red]\-#,##0\ "/>
    <numFmt numFmtId="169" formatCode="#,##0;[Red]#,##0"/>
    <numFmt numFmtId="170" formatCode="[$€-2]\ #\ ##,000_);[Red]\([$€-2]\ #\ ##,000\)"/>
  </numFmts>
  <fonts count="5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25"/>
      <name val="Times New Roman"/>
      <family val="1"/>
    </font>
    <font>
      <b/>
      <sz val="23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sz val="12"/>
      <name val="Times New Roman CE"/>
      <family val="0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 CE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10" xfId="50" applyNumberFormat="1" applyFont="1" applyBorder="1" applyAlignment="1">
      <alignment/>
    </xf>
    <xf numFmtId="3" fontId="4" fillId="0" borderId="11" xfId="50" applyNumberFormat="1" applyFont="1" applyBorder="1" applyAlignment="1">
      <alignment/>
    </xf>
    <xf numFmtId="0" fontId="0" fillId="0" borderId="0" xfId="54">
      <alignment/>
      <protection/>
    </xf>
    <xf numFmtId="3" fontId="0" fillId="0" borderId="0" xfId="54" applyNumberFormat="1">
      <alignment/>
      <protection/>
    </xf>
    <xf numFmtId="3" fontId="0" fillId="0" borderId="0" xfId="0" applyNumberFormat="1" applyAlignment="1">
      <alignment/>
    </xf>
    <xf numFmtId="4" fontId="4" fillId="0" borderId="12" xfId="50" applyNumberFormat="1" applyFont="1" applyBorder="1" applyAlignment="1">
      <alignment/>
    </xf>
    <xf numFmtId="3" fontId="4" fillId="0" borderId="13" xfId="50" applyNumberFormat="1" applyFont="1" applyBorder="1" applyAlignment="1">
      <alignment/>
    </xf>
    <xf numFmtId="4" fontId="4" fillId="0" borderId="0" xfId="50" applyNumberFormat="1" applyFont="1" applyBorder="1" applyAlignment="1">
      <alignment/>
    </xf>
    <xf numFmtId="3" fontId="4" fillId="0" borderId="0" xfId="50" applyNumberFormat="1" applyFont="1" applyBorder="1" applyAlignment="1">
      <alignment/>
    </xf>
    <xf numFmtId="4" fontId="4" fillId="0" borderId="14" xfId="50" applyNumberFormat="1" applyFont="1" applyBorder="1" applyAlignment="1">
      <alignment/>
    </xf>
    <xf numFmtId="4" fontId="4" fillId="0" borderId="15" xfId="50" applyNumberFormat="1" applyFont="1" applyBorder="1" applyAlignment="1">
      <alignment/>
    </xf>
    <xf numFmtId="3" fontId="4" fillId="0" borderId="16" xfId="50" applyNumberFormat="1" applyFont="1" applyBorder="1" applyAlignment="1">
      <alignment/>
    </xf>
    <xf numFmtId="4" fontId="4" fillId="0" borderId="17" xfId="5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4" fontId="5" fillId="0" borderId="0" xfId="50" applyNumberFormat="1" applyFont="1" applyBorder="1" applyAlignment="1">
      <alignment/>
    </xf>
    <xf numFmtId="4" fontId="5" fillId="0" borderId="0" xfId="50" applyNumberFormat="1" applyFont="1" applyBorder="1" applyAlignment="1">
      <alignment horizontal="center"/>
    </xf>
    <xf numFmtId="4" fontId="5" fillId="0" borderId="0" xfId="50" applyNumberFormat="1" applyFont="1" applyBorder="1" applyAlignment="1">
      <alignment horizontal="left"/>
    </xf>
    <xf numFmtId="4" fontId="4" fillId="0" borderId="18" xfId="50" applyNumberFormat="1" applyFont="1" applyBorder="1" applyAlignment="1">
      <alignment/>
    </xf>
    <xf numFmtId="0" fontId="0" fillId="0" borderId="0" xfId="54" applyAlignment="1">
      <alignment/>
      <protection/>
    </xf>
    <xf numFmtId="4" fontId="4" fillId="0" borderId="19" xfId="50" applyNumberFormat="1" applyFont="1" applyBorder="1" applyAlignment="1">
      <alignment/>
    </xf>
    <xf numFmtId="3" fontId="4" fillId="0" borderId="19" xfId="50" applyNumberFormat="1" applyFont="1" applyBorder="1" applyAlignment="1">
      <alignment/>
    </xf>
    <xf numFmtId="3" fontId="4" fillId="11" borderId="20" xfId="50" applyNumberFormat="1" applyFont="1" applyFill="1" applyBorder="1" applyAlignment="1">
      <alignment/>
    </xf>
    <xf numFmtId="3" fontId="5" fillId="11" borderId="20" xfId="50" applyNumberFormat="1" applyFont="1" applyFill="1" applyBorder="1" applyAlignment="1">
      <alignment/>
    </xf>
    <xf numFmtId="4" fontId="5" fillId="11" borderId="21" xfId="50" applyNumberFormat="1" applyFont="1" applyFill="1" applyBorder="1" applyAlignment="1">
      <alignment/>
    </xf>
    <xf numFmtId="4" fontId="4" fillId="11" borderId="21" xfId="50" applyNumberFormat="1" applyFont="1" applyFill="1" applyBorder="1" applyAlignment="1">
      <alignment/>
    </xf>
    <xf numFmtId="169" fontId="53" fillId="0" borderId="13" xfId="50" applyNumberFormat="1" applyFont="1" applyBorder="1" applyAlignment="1">
      <alignment/>
    </xf>
    <xf numFmtId="169" fontId="53" fillId="0" borderId="11" xfId="50" applyNumberFormat="1" applyFont="1" applyBorder="1" applyAlignment="1">
      <alignment/>
    </xf>
    <xf numFmtId="0" fontId="3" fillId="0" borderId="0" xfId="54" applyFont="1" applyBorder="1" applyAlignment="1">
      <alignment horizontal="right" vertical="center" wrapText="1"/>
      <protection/>
    </xf>
    <xf numFmtId="3" fontId="3" fillId="0" borderId="0" xfId="54" applyNumberFormat="1" applyFont="1" applyBorder="1" applyAlignment="1">
      <alignment horizontal="right" vertical="center"/>
      <protection/>
    </xf>
    <xf numFmtId="3" fontId="0" fillId="0" borderId="0" xfId="54" applyNumberFormat="1" applyAlignment="1">
      <alignment/>
      <protection/>
    </xf>
    <xf numFmtId="4" fontId="5" fillId="11" borderId="19" xfId="50" applyNumberFormat="1" applyFont="1" applyFill="1" applyBorder="1" applyAlignment="1">
      <alignment/>
    </xf>
    <xf numFmtId="3" fontId="4" fillId="11" borderId="19" xfId="50" applyNumberFormat="1" applyFont="1" applyFill="1" applyBorder="1" applyAlignment="1">
      <alignment/>
    </xf>
    <xf numFmtId="0" fontId="0" fillId="11" borderId="19" xfId="0" applyFill="1" applyBorder="1" applyAlignment="1">
      <alignment/>
    </xf>
    <xf numFmtId="3" fontId="3" fillId="33" borderId="22" xfId="54" applyNumberFormat="1" applyFont="1" applyFill="1" applyBorder="1" applyAlignment="1">
      <alignment vertical="center"/>
      <protection/>
    </xf>
    <xf numFmtId="3" fontId="3" fillId="33" borderId="23" xfId="54" applyNumberFormat="1" applyFont="1" applyFill="1" applyBorder="1" applyAlignment="1">
      <alignment vertical="center"/>
      <protection/>
    </xf>
    <xf numFmtId="3" fontId="5" fillId="0" borderId="24" xfId="50" applyNumberFormat="1" applyFont="1" applyBorder="1" applyAlignment="1">
      <alignment/>
    </xf>
    <xf numFmtId="3" fontId="5" fillId="0" borderId="19" xfId="50" applyNumberFormat="1" applyFont="1" applyBorder="1" applyAlignment="1">
      <alignment/>
    </xf>
    <xf numFmtId="169" fontId="4" fillId="0" borderId="11" xfId="50" applyNumberFormat="1" applyFont="1" applyBorder="1" applyAlignment="1">
      <alignment/>
    </xf>
    <xf numFmtId="0" fontId="0" fillId="0" borderId="0" xfId="0" applyFont="1" applyAlignment="1">
      <alignment/>
    </xf>
    <xf numFmtId="0" fontId="3" fillId="11" borderId="25" xfId="54" applyFont="1" applyFill="1" applyBorder="1" applyAlignment="1">
      <alignment horizontal="center" vertical="top" wrapText="1"/>
      <protection/>
    </xf>
    <xf numFmtId="0" fontId="3" fillId="11" borderId="26" xfId="54" applyFont="1" applyFill="1" applyBorder="1" applyAlignment="1">
      <alignment horizontal="center" vertical="top" wrapText="1"/>
      <protection/>
    </xf>
    <xf numFmtId="0" fontId="3" fillId="11" borderId="27" xfId="54" applyFont="1" applyFill="1" applyBorder="1" applyAlignment="1">
      <alignment horizontal="center" vertical="top" wrapText="1"/>
      <protection/>
    </xf>
    <xf numFmtId="3" fontId="0" fillId="0" borderId="19" xfId="54" applyNumberFormat="1" applyFont="1" applyBorder="1" applyAlignment="1">
      <alignment horizontal="right" wrapText="1"/>
      <protection/>
    </xf>
    <xf numFmtId="3" fontId="3" fillId="0" borderId="19" xfId="56" applyNumberFormat="1" applyFont="1" applyBorder="1" applyAlignment="1">
      <alignment horizontal="right"/>
      <protection/>
    </xf>
    <xf numFmtId="3" fontId="0" fillId="33" borderId="19" xfId="54" applyNumberFormat="1" applyFont="1" applyFill="1" applyBorder="1" applyAlignment="1">
      <alignment horizontal="right" wrapText="1"/>
      <protection/>
    </xf>
    <xf numFmtId="3" fontId="3" fillId="33" borderId="19" xfId="56" applyNumberFormat="1" applyFont="1" applyFill="1" applyBorder="1" applyAlignment="1">
      <alignment horizontal="right"/>
      <protection/>
    </xf>
    <xf numFmtId="3" fontId="3" fillId="0" borderId="19" xfId="54" applyNumberFormat="1" applyFont="1" applyBorder="1" applyAlignment="1">
      <alignment horizontal="right" wrapText="1"/>
      <protection/>
    </xf>
    <xf numFmtId="3" fontId="4" fillId="33" borderId="19" xfId="5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3" fontId="0" fillId="0" borderId="28" xfId="54" applyNumberFormat="1" applyFont="1" applyBorder="1" applyAlignment="1">
      <alignment horizontal="center" vertical="center"/>
      <protection/>
    </xf>
    <xf numFmtId="3" fontId="0" fillId="0" borderId="19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54" applyNumberFormat="1" applyFill="1" applyBorder="1" applyAlignment="1">
      <alignment/>
      <protection/>
    </xf>
    <xf numFmtId="0" fontId="0" fillId="33" borderId="0" xfId="54" applyFill="1">
      <alignment/>
      <protection/>
    </xf>
    <xf numFmtId="3" fontId="3" fillId="0" borderId="29" xfId="54" applyNumberFormat="1" applyFont="1" applyBorder="1">
      <alignment/>
      <protection/>
    </xf>
    <xf numFmtId="3" fontId="5" fillId="0" borderId="0" xfId="50" applyNumberFormat="1" applyFont="1" applyBorder="1" applyAlignment="1">
      <alignment horizontal="left"/>
    </xf>
    <xf numFmtId="0" fontId="0" fillId="0" borderId="15" xfId="54" applyFont="1" applyBorder="1" applyAlignment="1">
      <alignment horizontal="left"/>
      <protection/>
    </xf>
    <xf numFmtId="0" fontId="0" fillId="33" borderId="15" xfId="54" applyFont="1" applyFill="1" applyBorder="1" applyAlignment="1">
      <alignment horizontal="left"/>
      <protection/>
    </xf>
    <xf numFmtId="3" fontId="11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169" fontId="4" fillId="0" borderId="30" xfId="50" applyNumberFormat="1" applyFont="1" applyBorder="1" applyAlignment="1">
      <alignment/>
    </xf>
    <xf numFmtId="4" fontId="4" fillId="0" borderId="12" xfId="50" applyNumberFormat="1" applyFont="1" applyBorder="1" applyAlignment="1">
      <alignment wrapText="1"/>
    </xf>
    <xf numFmtId="3" fontId="3" fillId="33" borderId="16" xfId="56" applyNumberFormat="1" applyFont="1" applyFill="1" applyBorder="1" applyAlignment="1">
      <alignment horizontal="right"/>
      <protection/>
    </xf>
    <xf numFmtId="3" fontId="1" fillId="11" borderId="31" xfId="54" applyNumberFormat="1" applyFont="1" applyFill="1" applyBorder="1" applyAlignment="1">
      <alignment horizontal="right" vertical="center"/>
      <protection/>
    </xf>
    <xf numFmtId="3" fontId="3" fillId="11" borderId="32" xfId="54" applyNumberFormat="1" applyFont="1" applyFill="1" applyBorder="1" applyAlignment="1">
      <alignment horizontal="right" vertical="center"/>
      <protection/>
    </xf>
    <xf numFmtId="3" fontId="1" fillId="11" borderId="33" xfId="54" applyNumberFormat="1" applyFont="1" applyFill="1" applyBorder="1" applyAlignment="1">
      <alignment horizontal="right" vertical="center"/>
      <protection/>
    </xf>
    <xf numFmtId="0" fontId="3" fillId="0" borderId="14" xfId="54" applyFont="1" applyBorder="1" applyAlignment="1">
      <alignment horizontal="left" wrapText="1"/>
      <protection/>
    </xf>
    <xf numFmtId="3" fontId="3" fillId="0" borderId="22" xfId="54" applyNumberFormat="1" applyFont="1" applyBorder="1" applyAlignment="1">
      <alignment vertical="center"/>
      <protection/>
    </xf>
    <xf numFmtId="0" fontId="3" fillId="0" borderId="17" xfId="54" applyFont="1" applyBorder="1" applyAlignment="1">
      <alignment horizontal="left" wrapText="1"/>
      <protection/>
    </xf>
    <xf numFmtId="3" fontId="3" fillId="33" borderId="34" xfId="54" applyNumberFormat="1" applyFont="1" applyFill="1" applyBorder="1" applyAlignment="1">
      <alignment vertical="center"/>
      <protection/>
    </xf>
    <xf numFmtId="3" fontId="3" fillId="33" borderId="24" xfId="54" applyNumberFormat="1" applyFont="1" applyFill="1" applyBorder="1" applyAlignment="1">
      <alignment vertical="center"/>
      <protection/>
    </xf>
    <xf numFmtId="3" fontId="3" fillId="33" borderId="35" xfId="56" applyNumberFormat="1" applyFont="1" applyFill="1" applyBorder="1" applyAlignment="1">
      <alignment horizontal="right"/>
      <protection/>
    </xf>
    <xf numFmtId="3" fontId="3" fillId="33" borderId="36" xfId="56" applyNumberFormat="1" applyFont="1" applyFill="1" applyBorder="1" applyAlignment="1">
      <alignment horizontal="right"/>
      <protection/>
    </xf>
    <xf numFmtId="3" fontId="0" fillId="0" borderId="19" xfId="54" applyNumberFormat="1" applyFont="1" applyFill="1" applyBorder="1" applyAlignment="1">
      <alignment horizontal="right" wrapText="1"/>
      <protection/>
    </xf>
    <xf numFmtId="3" fontId="3" fillId="0" borderId="19" xfId="54" applyNumberFormat="1" applyFont="1" applyFill="1" applyBorder="1" applyAlignment="1">
      <alignment horizontal="right" wrapText="1"/>
      <protection/>
    </xf>
    <xf numFmtId="3" fontId="3" fillId="0" borderId="19" xfId="56" applyNumberFormat="1" applyFont="1" applyFill="1" applyBorder="1" applyAlignment="1">
      <alignment horizontal="right"/>
      <protection/>
    </xf>
    <xf numFmtId="3" fontId="3" fillId="0" borderId="29" xfId="54" applyNumberFormat="1" applyFont="1" applyFill="1" applyBorder="1">
      <alignment/>
      <protection/>
    </xf>
    <xf numFmtId="3" fontId="3" fillId="33" borderId="19" xfId="54" applyNumberFormat="1" applyFont="1" applyFill="1" applyBorder="1" applyAlignment="1">
      <alignment horizontal="right" wrapText="1"/>
      <protection/>
    </xf>
    <xf numFmtId="3" fontId="3" fillId="33" borderId="29" xfId="54" applyNumberFormat="1" applyFont="1" applyFill="1" applyBorder="1">
      <alignment/>
      <protection/>
    </xf>
    <xf numFmtId="0" fontId="0" fillId="33" borderId="37" xfId="54" applyFont="1" applyFill="1" applyBorder="1" applyAlignment="1">
      <alignment horizontal="left"/>
      <protection/>
    </xf>
    <xf numFmtId="3" fontId="0" fillId="33" borderId="35" xfId="54" applyNumberFormat="1" applyFont="1" applyFill="1" applyBorder="1" applyAlignment="1">
      <alignment horizontal="right" wrapText="1"/>
      <protection/>
    </xf>
    <xf numFmtId="3" fontId="3" fillId="33" borderId="35" xfId="54" applyNumberFormat="1" applyFont="1" applyFill="1" applyBorder="1" applyAlignment="1">
      <alignment horizontal="right" wrapText="1"/>
      <protection/>
    </xf>
    <xf numFmtId="3" fontId="3" fillId="33" borderId="38" xfId="54" applyNumberFormat="1" applyFont="1" applyFill="1" applyBorder="1">
      <alignment/>
      <protection/>
    </xf>
    <xf numFmtId="3" fontId="0" fillId="33" borderId="19" xfId="54" applyNumberFormat="1" applyFont="1" applyFill="1" applyBorder="1" applyAlignment="1">
      <alignment horizontal="right"/>
      <protection/>
    </xf>
    <xf numFmtId="0" fontId="0" fillId="33" borderId="19" xfId="54" applyFill="1" applyBorder="1">
      <alignment/>
      <protection/>
    </xf>
    <xf numFmtId="0" fontId="0" fillId="33" borderId="17" xfId="54" applyFont="1" applyFill="1" applyBorder="1" applyAlignment="1">
      <alignment horizontal="left"/>
      <protection/>
    </xf>
    <xf numFmtId="3" fontId="0" fillId="33" borderId="34" xfId="54" applyNumberFormat="1" applyFont="1" applyFill="1" applyBorder="1" applyAlignment="1">
      <alignment horizontal="right" wrapText="1"/>
      <protection/>
    </xf>
    <xf numFmtId="3" fontId="3" fillId="33" borderId="34" xfId="54" applyNumberFormat="1" applyFont="1" applyFill="1" applyBorder="1" applyAlignment="1">
      <alignment horizontal="right" wrapText="1"/>
      <protection/>
    </xf>
    <xf numFmtId="3" fontId="3" fillId="33" borderId="39" xfId="54" applyNumberFormat="1" applyFont="1" applyFill="1" applyBorder="1">
      <alignment/>
      <protection/>
    </xf>
    <xf numFmtId="3" fontId="3" fillId="33" borderId="34" xfId="56" applyNumberFormat="1" applyFont="1" applyFill="1" applyBorder="1" applyAlignment="1">
      <alignment horizontal="right"/>
      <protection/>
    </xf>
    <xf numFmtId="3" fontId="3" fillId="33" borderId="24" xfId="56" applyNumberFormat="1" applyFont="1" applyFill="1" applyBorder="1" applyAlignment="1">
      <alignment horizontal="right"/>
      <protection/>
    </xf>
    <xf numFmtId="3" fontId="0" fillId="0" borderId="14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4" fillId="33" borderId="15" xfId="50" applyNumberFormat="1" applyFont="1" applyFill="1" applyBorder="1" applyAlignment="1">
      <alignment/>
    </xf>
    <xf numFmtId="3" fontId="0" fillId="0" borderId="40" xfId="0" applyNumberFormat="1" applyBorder="1" applyAlignment="1">
      <alignment horizontal="right"/>
    </xf>
    <xf numFmtId="0" fontId="3" fillId="11" borderId="41" xfId="0" applyFont="1" applyFill="1" applyBorder="1" applyAlignment="1">
      <alignment/>
    </xf>
    <xf numFmtId="3" fontId="0" fillId="0" borderId="35" xfId="0" applyNumberFormat="1" applyFill="1" applyBorder="1" applyAlignment="1">
      <alignment horizontal="right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3" fillId="11" borderId="44" xfId="0" applyNumberFormat="1" applyFont="1" applyFill="1" applyBorder="1" applyAlignment="1">
      <alignment/>
    </xf>
    <xf numFmtId="3" fontId="3" fillId="11" borderId="28" xfId="0" applyNumberFormat="1" applyFont="1" applyFill="1" applyBorder="1" applyAlignment="1">
      <alignment/>
    </xf>
    <xf numFmtId="0" fontId="3" fillId="11" borderId="28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0" fillId="33" borderId="45" xfId="54" applyFont="1" applyFill="1" applyBorder="1" applyAlignment="1">
      <alignment horizontal="left"/>
      <protection/>
    </xf>
    <xf numFmtId="3" fontId="0" fillId="33" borderId="46" xfId="54" applyNumberFormat="1" applyFont="1" applyFill="1" applyBorder="1" applyAlignment="1">
      <alignment horizontal="right" wrapText="1"/>
      <protection/>
    </xf>
    <xf numFmtId="3" fontId="3" fillId="33" borderId="46" xfId="54" applyNumberFormat="1" applyFont="1" applyFill="1" applyBorder="1" applyAlignment="1">
      <alignment horizontal="right" wrapText="1"/>
      <protection/>
    </xf>
    <xf numFmtId="3" fontId="3" fillId="33" borderId="46" xfId="56" applyNumberFormat="1" applyFont="1" applyFill="1" applyBorder="1" applyAlignment="1">
      <alignment horizontal="right"/>
      <protection/>
    </xf>
    <xf numFmtId="3" fontId="0" fillId="0" borderId="46" xfId="54" applyNumberFormat="1" applyFont="1" applyBorder="1" applyAlignment="1">
      <alignment horizontal="right" wrapText="1"/>
      <protection/>
    </xf>
    <xf numFmtId="3" fontId="3" fillId="33" borderId="47" xfId="54" applyNumberFormat="1" applyFont="1" applyFill="1" applyBorder="1">
      <alignment/>
      <protection/>
    </xf>
    <xf numFmtId="3" fontId="3" fillId="33" borderId="48" xfId="56" applyNumberFormat="1" applyFont="1" applyFill="1" applyBorder="1" applyAlignment="1">
      <alignment horizontal="right"/>
      <protection/>
    </xf>
    <xf numFmtId="3" fontId="0" fillId="0" borderId="34" xfId="54" applyNumberFormat="1" applyFont="1" applyBorder="1" applyAlignment="1">
      <alignment horizontal="right" wrapText="1"/>
      <protection/>
    </xf>
    <xf numFmtId="3" fontId="0" fillId="0" borderId="35" xfId="54" applyNumberFormat="1" applyFont="1" applyBorder="1" applyAlignment="1">
      <alignment horizontal="right" wrapText="1"/>
      <protection/>
    </xf>
    <xf numFmtId="0" fontId="3" fillId="5" borderId="42" xfId="54" applyFont="1" applyFill="1" applyBorder="1" applyAlignment="1">
      <alignment horizontal="left" wrapText="1"/>
      <protection/>
    </xf>
    <xf numFmtId="3" fontId="3" fillId="5" borderId="43" xfId="54" applyNumberFormat="1" applyFont="1" applyFill="1" applyBorder="1" applyAlignment="1">
      <alignment vertical="center"/>
      <protection/>
    </xf>
    <xf numFmtId="3" fontId="3" fillId="5" borderId="49" xfId="54" applyNumberFormat="1" applyFont="1" applyFill="1" applyBorder="1" applyAlignment="1">
      <alignment vertical="center"/>
      <protection/>
    </xf>
    <xf numFmtId="3" fontId="3" fillId="5" borderId="50" xfId="54" applyNumberFormat="1" applyFont="1" applyFill="1" applyBorder="1" applyAlignment="1">
      <alignment vertical="center"/>
      <protection/>
    </xf>
    <xf numFmtId="3" fontId="3" fillId="11" borderId="23" xfId="54" applyNumberFormat="1" applyFont="1" applyFill="1" applyBorder="1" applyAlignment="1">
      <alignment horizontal="right" vertical="center"/>
      <protection/>
    </xf>
    <xf numFmtId="3" fontId="3" fillId="5" borderId="16" xfId="54" applyNumberFormat="1" applyFont="1" applyFill="1" applyBorder="1" applyAlignment="1">
      <alignment vertical="center"/>
      <protection/>
    </xf>
    <xf numFmtId="3" fontId="1" fillId="11" borderId="16" xfId="54" applyNumberFormat="1" applyFont="1" applyFill="1" applyBorder="1" applyAlignment="1">
      <alignment horizontal="right" vertical="center"/>
      <protection/>
    </xf>
    <xf numFmtId="3" fontId="3" fillId="11" borderId="24" xfId="54" applyNumberFormat="1" applyFont="1" applyFill="1" applyBorder="1" applyAlignment="1">
      <alignment horizontal="right" vertical="center"/>
      <protection/>
    </xf>
    <xf numFmtId="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3" fillId="11" borderId="21" xfId="0" applyFont="1" applyFill="1" applyBorder="1" applyAlignment="1">
      <alignment/>
    </xf>
    <xf numFmtId="3" fontId="0" fillId="0" borderId="13" xfId="0" applyNumberFormat="1" applyFill="1" applyBorder="1" applyAlignment="1">
      <alignment horizontal="left"/>
    </xf>
    <xf numFmtId="3" fontId="0" fillId="0" borderId="23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left"/>
    </xf>
    <xf numFmtId="3" fontId="0" fillId="0" borderId="16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3" fontId="0" fillId="0" borderId="52" xfId="0" applyNumberFormat="1" applyBorder="1" applyAlignment="1">
      <alignment horizontal="left"/>
    </xf>
    <xf numFmtId="3" fontId="0" fillId="0" borderId="36" xfId="0" applyNumberFormat="1" applyFill="1" applyBorder="1" applyAlignment="1">
      <alignment horizontal="right"/>
    </xf>
    <xf numFmtId="3" fontId="0" fillId="0" borderId="50" xfId="0" applyNumberFormat="1" applyBorder="1" applyAlignment="1">
      <alignment/>
    </xf>
    <xf numFmtId="3" fontId="3" fillId="0" borderId="53" xfId="0" applyNumberFormat="1" applyFont="1" applyBorder="1" applyAlignment="1">
      <alignment/>
    </xf>
    <xf numFmtId="4" fontId="5" fillId="11" borderId="54" xfId="50" applyNumberFormat="1" applyFont="1" applyFill="1" applyBorder="1" applyAlignment="1">
      <alignment/>
    </xf>
    <xf numFmtId="4" fontId="4" fillId="0" borderId="29" xfId="50" applyNumberFormat="1" applyFont="1" applyBorder="1" applyAlignment="1">
      <alignment/>
    </xf>
    <xf numFmtId="4" fontId="4" fillId="0" borderId="38" xfId="50" applyNumberFormat="1" applyFont="1" applyBorder="1" applyAlignment="1">
      <alignment/>
    </xf>
    <xf numFmtId="3" fontId="4" fillId="0" borderId="52" xfId="50" applyNumberFormat="1" applyFont="1" applyBorder="1" applyAlignment="1">
      <alignment/>
    </xf>
    <xf numFmtId="3" fontId="4" fillId="11" borderId="51" xfId="50" applyNumberFormat="1" applyFont="1" applyFill="1" applyBorder="1" applyAlignment="1">
      <alignment/>
    </xf>
    <xf numFmtId="3" fontId="4" fillId="0" borderId="55" xfId="50" applyNumberFormat="1" applyFont="1" applyBorder="1" applyAlignment="1">
      <alignment/>
    </xf>
    <xf numFmtId="3" fontId="4" fillId="0" borderId="56" xfId="50" applyNumberFormat="1" applyFont="1" applyBorder="1" applyAlignment="1">
      <alignment/>
    </xf>
    <xf numFmtId="3" fontId="4" fillId="0" borderId="57" xfId="50" applyNumberFormat="1" applyFont="1" applyBorder="1" applyAlignment="1">
      <alignment/>
    </xf>
    <xf numFmtId="3" fontId="4" fillId="0" borderId="58" xfId="50" applyNumberFormat="1" applyFont="1" applyBorder="1" applyAlignment="1">
      <alignment/>
    </xf>
    <xf numFmtId="3" fontId="5" fillId="11" borderId="51" xfId="5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59" xfId="0" applyFont="1" applyBorder="1" applyAlignment="1">
      <alignment horizontal="left" wrapText="1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4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 10" xfId="51"/>
    <cellStyle name="normální 11" xfId="52"/>
    <cellStyle name="normální 12" xfId="53"/>
    <cellStyle name="normální 2" xfId="54"/>
    <cellStyle name="normální 3" xfId="55"/>
    <cellStyle name="normální 4" xfId="56"/>
    <cellStyle name="normální 5" xfId="57"/>
    <cellStyle name="normální 6" xfId="58"/>
    <cellStyle name="normální 7" xfId="59"/>
    <cellStyle name="normální 8" xfId="60"/>
    <cellStyle name="normální 9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171450</xdr:colOff>
      <xdr:row>3</xdr:row>
      <xdr:rowOff>238125</xdr:rowOff>
    </xdr:to>
    <xdr:pic>
      <xdr:nvPicPr>
        <xdr:cNvPr id="1" name="Obrázek 6" descr="Logo FP 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219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LONAS~1\AppData\Local\Temp\Kopie%20-%20RozF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7.230.18.1\kve\Cerpani\Rok2012\Konta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"/>
      <sheetName val="Institucionální podpora"/>
      <sheetName val="Zahraniční studenti"/>
      <sheetName val="Stipendia"/>
      <sheetName val="Dary, zahr. gr. a konference"/>
      <sheetName val="NIV samoplátci"/>
      <sheetName val="INV"/>
      <sheetName val="Úpravy"/>
      <sheetName val="Nepřímé N-102"/>
      <sheetName val="Vyrovnání 101+Daňově neúčinné N"/>
      <sheetName val="Rezerva NZ"/>
      <sheetName val="Evidence NZ"/>
    </sheetNames>
    <sheetDataSet>
      <sheetData sheetId="6">
        <row r="4">
          <cell r="E4">
            <v>0</v>
          </cell>
        </row>
        <row r="5">
          <cell r="E5">
            <v>1973212.5900000017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áklady"/>
      <sheetName val="Výnosy"/>
      <sheetName val="Zálohy vydané"/>
      <sheetName val="Zálohy přijaté"/>
      <sheetName val="Stipendijní fond"/>
    </sheetNames>
    <sheetDataSet>
      <sheetData sheetId="0">
        <row r="5265">
          <cell r="G5265">
            <v>5183013</v>
          </cell>
        </row>
      </sheetData>
      <sheetData sheetId="1">
        <row r="772">
          <cell r="G772">
            <v>4265443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5"/>
  <sheetViews>
    <sheetView tabSelected="1" zoomScalePageLayoutView="0" workbookViewId="0" topLeftCell="A10">
      <selection activeCell="L24" sqref="L24"/>
    </sheetView>
  </sheetViews>
  <sheetFormatPr defaultColWidth="9.140625" defaultRowHeight="12.75"/>
  <sheetData>
    <row r="4" ht="162" customHeight="1"/>
    <row r="5" ht="30.75">
      <c r="E5" s="15" t="s">
        <v>31</v>
      </c>
    </row>
    <row r="6" ht="30.75">
      <c r="E6" s="15" t="s">
        <v>32</v>
      </c>
    </row>
    <row r="7" ht="30.75">
      <c r="E7" s="15"/>
    </row>
    <row r="8" ht="29.25">
      <c r="E8" s="16" t="s">
        <v>33</v>
      </c>
    </row>
    <row r="9" ht="29.25">
      <c r="E9" s="16" t="s">
        <v>34</v>
      </c>
    </row>
    <row r="10" ht="29.25">
      <c r="E10" s="16" t="s">
        <v>35</v>
      </c>
    </row>
    <row r="11" ht="29.25">
      <c r="E11" s="16" t="s">
        <v>104</v>
      </c>
    </row>
    <row r="12" ht="12.75">
      <c r="E12" s="17"/>
    </row>
    <row r="13" ht="12.75">
      <c r="E13" s="17"/>
    </row>
    <row r="14" ht="12.75">
      <c r="E14" s="17"/>
    </row>
    <row r="15" ht="12.75">
      <c r="E15" s="17"/>
    </row>
    <row r="16" ht="12.75">
      <c r="G16" s="17" t="s">
        <v>36</v>
      </c>
    </row>
    <row r="17" ht="12.75">
      <c r="E17" s="17"/>
    </row>
    <row r="18" spans="4:8" ht="78" customHeight="1">
      <c r="D18" s="153" t="s">
        <v>37</v>
      </c>
      <c r="E18" s="154"/>
      <c r="F18" s="154"/>
      <c r="G18" s="154"/>
      <c r="H18" s="154"/>
    </row>
    <row r="19" spans="5:7" ht="15">
      <c r="E19" s="155" t="s">
        <v>38</v>
      </c>
      <c r="F19" s="155"/>
      <c r="G19" s="155"/>
    </row>
    <row r="20" ht="12.75">
      <c r="E20" s="17"/>
    </row>
    <row r="21" spans="2:5" ht="12.75">
      <c r="B21" s="156" t="s">
        <v>39</v>
      </c>
      <c r="C21" s="154"/>
      <c r="E21" s="17"/>
    </row>
    <row r="22" spans="2:4" ht="16.5" customHeight="1">
      <c r="B22" s="151" t="s">
        <v>40</v>
      </c>
      <c r="C22" s="151"/>
      <c r="D22" s="151"/>
    </row>
    <row r="23" spans="2:3" ht="15.75" customHeight="1">
      <c r="B23" s="151" t="s">
        <v>41</v>
      </c>
      <c r="C23" s="151"/>
    </row>
    <row r="25" spans="2:7" ht="28.5" customHeight="1">
      <c r="B25" s="152" t="s">
        <v>120</v>
      </c>
      <c r="C25" s="152"/>
      <c r="D25" s="152"/>
      <c r="E25" s="152"/>
      <c r="F25" s="152"/>
      <c r="G25" s="152"/>
    </row>
  </sheetData>
  <sheetProtection/>
  <mergeCells count="6">
    <mergeCell ref="B23:C23"/>
    <mergeCell ref="B25:G25"/>
    <mergeCell ref="D18:H18"/>
    <mergeCell ref="E19:G19"/>
    <mergeCell ref="B21:C21"/>
    <mergeCell ref="B22:D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6.421875" style="0" customWidth="1"/>
    <col min="2" max="2" width="40.00390625" style="0" customWidth="1"/>
    <col min="3" max="3" width="34.57421875" style="0" customWidth="1"/>
  </cols>
  <sheetData>
    <row r="2" spans="2:3" ht="194.25" customHeight="1">
      <c r="B2" s="158" t="s">
        <v>119</v>
      </c>
      <c r="C2" s="158"/>
    </row>
    <row r="3" spans="2:3" ht="45" customHeight="1" thickBot="1">
      <c r="B3" s="159" t="s">
        <v>57</v>
      </c>
      <c r="C3" s="159"/>
    </row>
    <row r="4" spans="2:3" ht="25.5" customHeight="1">
      <c r="B4" s="52" t="s">
        <v>59</v>
      </c>
      <c r="C4" s="124">
        <v>121907598.74000001</v>
      </c>
    </row>
    <row r="5" spans="2:3" ht="24.75" customHeight="1">
      <c r="B5" s="53" t="s">
        <v>58</v>
      </c>
      <c r="C5" s="125">
        <v>103301731.54999998</v>
      </c>
    </row>
    <row r="6" spans="2:3" ht="23.25" customHeight="1">
      <c r="B6" s="53" t="s">
        <v>107</v>
      </c>
      <c r="C6" s="126">
        <f>C4-C5</f>
        <v>18605867.190000027</v>
      </c>
    </row>
    <row r="7" spans="2:3" ht="24.75" customHeight="1">
      <c r="B7" s="53" t="s">
        <v>105</v>
      </c>
      <c r="C7" s="125">
        <v>486996</v>
      </c>
    </row>
    <row r="8" spans="2:3" ht="24" customHeight="1" thickBot="1">
      <c r="B8" s="54" t="s">
        <v>106</v>
      </c>
      <c r="C8" s="127">
        <f>C6+C7</f>
        <v>19092863.190000027</v>
      </c>
    </row>
    <row r="9" ht="29.25" customHeight="1"/>
    <row r="10" spans="2:3" ht="99" customHeight="1">
      <c r="B10" s="157" t="s">
        <v>108</v>
      </c>
      <c r="C10" s="157"/>
    </row>
  </sheetData>
  <sheetProtection/>
  <mergeCells count="3">
    <mergeCell ref="B10:C10"/>
    <mergeCell ref="B2:C2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1.00390625" style="0" customWidth="1"/>
    <col min="2" max="2" width="13.28125" style="0" customWidth="1"/>
    <col min="3" max="4" width="11.8515625" style="0" customWidth="1"/>
    <col min="5" max="6" width="11.57421875" style="0" customWidth="1"/>
    <col min="7" max="7" width="12.28125" style="0" customWidth="1"/>
    <col min="8" max="8" width="12.8515625" style="0" customWidth="1"/>
    <col min="9" max="9" width="12.28125" style="0" customWidth="1"/>
    <col min="10" max="10" width="11.8515625" style="0" customWidth="1"/>
    <col min="11" max="11" width="12.57421875" style="0" customWidth="1"/>
  </cols>
  <sheetData>
    <row r="1" spans="1:11" ht="35.25" customHeight="1" thickBot="1">
      <c r="A1" s="20" t="s">
        <v>60</v>
      </c>
      <c r="B1" s="19"/>
      <c r="C1" s="4"/>
      <c r="D1" s="4"/>
      <c r="E1" s="4"/>
      <c r="F1" s="4"/>
      <c r="G1" s="4"/>
      <c r="H1" s="4"/>
      <c r="I1" s="4"/>
      <c r="J1" s="4"/>
      <c r="K1" s="4"/>
    </row>
    <row r="2" spans="1:11" ht="51">
      <c r="A2" s="43" t="s">
        <v>20</v>
      </c>
      <c r="B2" s="44" t="s">
        <v>83</v>
      </c>
      <c r="C2" s="44" t="s">
        <v>25</v>
      </c>
      <c r="D2" s="44" t="s">
        <v>0</v>
      </c>
      <c r="E2" s="44" t="s">
        <v>1</v>
      </c>
      <c r="F2" s="44" t="s">
        <v>23</v>
      </c>
      <c r="G2" s="44" t="s">
        <v>24</v>
      </c>
      <c r="H2" s="44" t="s">
        <v>22</v>
      </c>
      <c r="I2" s="44" t="s">
        <v>84</v>
      </c>
      <c r="J2" s="44" t="s">
        <v>87</v>
      </c>
      <c r="K2" s="45" t="s">
        <v>99</v>
      </c>
    </row>
    <row r="3" spans="1:11" ht="12.75">
      <c r="A3" s="62" t="s">
        <v>3</v>
      </c>
      <c r="B3" s="46">
        <f>6008873</f>
        <v>6008873</v>
      </c>
      <c r="C3" s="46">
        <v>2275</v>
      </c>
      <c r="D3" s="50">
        <f aca="true" t="shared" si="0" ref="D3:D23">B3+C3</f>
        <v>6011148</v>
      </c>
      <c r="E3" s="47">
        <v>5599838.75</v>
      </c>
      <c r="F3" s="46">
        <v>5514302</v>
      </c>
      <c r="G3" s="46">
        <f>E3-F3</f>
        <v>85536.75</v>
      </c>
      <c r="H3" s="60">
        <f aca="true" t="shared" si="1" ref="H3:H23">D3-E3</f>
        <v>411309.25</v>
      </c>
      <c r="I3" s="47"/>
      <c r="J3" s="47">
        <v>99910.29600000002</v>
      </c>
      <c r="K3" s="68">
        <f aca="true" t="shared" si="2" ref="K3:K21">H3-I3-J3</f>
        <v>311398.95399999997</v>
      </c>
    </row>
    <row r="4" spans="1:11" ht="12.75">
      <c r="A4" s="62" t="s">
        <v>4</v>
      </c>
      <c r="B4" s="46">
        <f>7064697+104857.21</f>
        <v>7169554.21</v>
      </c>
      <c r="C4" s="46">
        <v>74958</v>
      </c>
      <c r="D4" s="50">
        <f t="shared" si="0"/>
        <v>7244512.21</v>
      </c>
      <c r="E4" s="47">
        <v>6538068.47</v>
      </c>
      <c r="F4" s="46">
        <v>6306684</v>
      </c>
      <c r="G4" s="46">
        <f aca="true" t="shared" si="3" ref="G4:G23">E4-F4</f>
        <v>231384.46999999974</v>
      </c>
      <c r="H4" s="60">
        <f t="shared" si="1"/>
        <v>706443.7400000002</v>
      </c>
      <c r="I4" s="49"/>
      <c r="J4" s="49">
        <v>55112.543999999994</v>
      </c>
      <c r="K4" s="68">
        <f t="shared" si="2"/>
        <v>651331.1960000002</v>
      </c>
    </row>
    <row r="5" spans="1:11" ht="12.75">
      <c r="A5" s="62" t="s">
        <v>5</v>
      </c>
      <c r="B5" s="79">
        <f>7781550</f>
        <v>7781550</v>
      </c>
      <c r="C5" s="79">
        <v>299592</v>
      </c>
      <c r="D5" s="80">
        <f t="shared" si="0"/>
        <v>8081142</v>
      </c>
      <c r="E5" s="81">
        <v>7316759.76</v>
      </c>
      <c r="F5" s="79">
        <v>6856459</v>
      </c>
      <c r="G5" s="46">
        <f t="shared" si="3"/>
        <v>460300.7599999998</v>
      </c>
      <c r="H5" s="82">
        <f t="shared" si="1"/>
        <v>764382.2400000002</v>
      </c>
      <c r="I5" s="49">
        <f>174000*1.34</f>
        <v>233160</v>
      </c>
      <c r="J5" s="49">
        <v>71506.60200000001</v>
      </c>
      <c r="K5" s="68">
        <f t="shared" si="2"/>
        <v>459715.6380000002</v>
      </c>
    </row>
    <row r="6" spans="1:11" ht="12.75">
      <c r="A6" s="62" t="s">
        <v>6</v>
      </c>
      <c r="B6" s="79">
        <f>6825582+109309.95</f>
        <v>6934891.95</v>
      </c>
      <c r="C6" s="79">
        <v>39514.67</v>
      </c>
      <c r="D6" s="80">
        <f t="shared" si="0"/>
        <v>6974406.62</v>
      </c>
      <c r="E6" s="81">
        <v>6498453.819999998</v>
      </c>
      <c r="F6" s="79">
        <v>6363829</v>
      </c>
      <c r="G6" s="46">
        <f t="shared" si="3"/>
        <v>134624.81999999844</v>
      </c>
      <c r="H6" s="82">
        <f t="shared" si="1"/>
        <v>475952.8000000017</v>
      </c>
      <c r="I6" s="49"/>
      <c r="J6" s="49"/>
      <c r="K6" s="68">
        <f t="shared" si="2"/>
        <v>475952.8000000017</v>
      </c>
    </row>
    <row r="7" spans="1:11" ht="12.75">
      <c r="A7" s="62" t="s">
        <v>7</v>
      </c>
      <c r="B7" s="79">
        <f>3215721+290238.31-390000</f>
        <v>3115959.31</v>
      </c>
      <c r="C7" s="79">
        <v>0</v>
      </c>
      <c r="D7" s="80">
        <f t="shared" si="0"/>
        <v>3115959.31</v>
      </c>
      <c r="E7" s="81">
        <v>2909889.159999999</v>
      </c>
      <c r="F7" s="79">
        <v>2851001</v>
      </c>
      <c r="G7" s="46">
        <f t="shared" si="3"/>
        <v>58888.15999999922</v>
      </c>
      <c r="H7" s="82">
        <f t="shared" si="1"/>
        <v>206070.15000000084</v>
      </c>
      <c r="I7" s="49"/>
      <c r="J7" s="49">
        <v>64781.59499999999</v>
      </c>
      <c r="K7" s="68">
        <f t="shared" si="2"/>
        <v>141288.55500000087</v>
      </c>
    </row>
    <row r="8" spans="1:11" ht="12.75">
      <c r="A8" s="63" t="s">
        <v>8</v>
      </c>
      <c r="B8" s="48">
        <f>5823871+44000+25000</f>
        <v>5892871</v>
      </c>
      <c r="C8" s="48">
        <v>11438</v>
      </c>
      <c r="D8" s="83">
        <f t="shared" si="0"/>
        <v>5904309</v>
      </c>
      <c r="E8" s="49">
        <v>5409593.02</v>
      </c>
      <c r="F8" s="48">
        <v>5007296</v>
      </c>
      <c r="G8" s="46">
        <f t="shared" si="3"/>
        <v>402297.01999999955</v>
      </c>
      <c r="H8" s="84">
        <f t="shared" si="1"/>
        <v>494715.98000000045</v>
      </c>
      <c r="I8" s="49">
        <f>(73000+78000+78000)*1.34</f>
        <v>306860</v>
      </c>
      <c r="J8" s="49">
        <v>91163.37600000002</v>
      </c>
      <c r="K8" s="68">
        <f t="shared" si="2"/>
        <v>96692.60400000043</v>
      </c>
    </row>
    <row r="9" spans="1:11" ht="12.75">
      <c r="A9" s="63" t="s">
        <v>9</v>
      </c>
      <c r="B9" s="48">
        <f>7718436</f>
        <v>7718436</v>
      </c>
      <c r="C9" s="48">
        <v>3008.76</v>
      </c>
      <c r="D9" s="83">
        <f t="shared" si="0"/>
        <v>7721444.76</v>
      </c>
      <c r="E9" s="49">
        <v>6436014.26</v>
      </c>
      <c r="F9" s="48">
        <v>6364546</v>
      </c>
      <c r="G9" s="46">
        <f t="shared" si="3"/>
        <v>71468.25999999978</v>
      </c>
      <c r="H9" s="84">
        <f t="shared" si="1"/>
        <v>1285430.5</v>
      </c>
      <c r="I9" s="49">
        <f>147500*1.34</f>
        <v>197650</v>
      </c>
      <c r="J9" s="49">
        <v>52151.09399999999</v>
      </c>
      <c r="K9" s="68">
        <f t="shared" si="2"/>
        <v>1035629.406</v>
      </c>
    </row>
    <row r="10" spans="1:11" ht="12.75">
      <c r="A10" s="63" t="s">
        <v>67</v>
      </c>
      <c r="B10" s="48">
        <f>56763.73+248567+171634.87</f>
        <v>476965.6</v>
      </c>
      <c r="C10" s="48">
        <v>0</v>
      </c>
      <c r="D10" s="83">
        <f t="shared" si="0"/>
        <v>476965.6</v>
      </c>
      <c r="E10" s="49">
        <v>217540.37</v>
      </c>
      <c r="F10" s="48">
        <v>190490</v>
      </c>
      <c r="G10" s="46">
        <f t="shared" si="3"/>
        <v>27050.369999999995</v>
      </c>
      <c r="H10" s="84">
        <f t="shared" si="1"/>
        <v>259425.22999999998</v>
      </c>
      <c r="I10" s="49"/>
      <c r="J10" s="49"/>
      <c r="K10" s="68">
        <f t="shared" si="2"/>
        <v>259425.22999999998</v>
      </c>
    </row>
    <row r="11" spans="1:11" ht="12.75">
      <c r="A11" s="63" t="s">
        <v>10</v>
      </c>
      <c r="B11" s="48">
        <f>3037371</f>
        <v>3037371</v>
      </c>
      <c r="C11" s="48">
        <v>4490.41</v>
      </c>
      <c r="D11" s="83">
        <f t="shared" si="0"/>
        <v>3041861.41</v>
      </c>
      <c r="E11" s="49">
        <v>2872798.74</v>
      </c>
      <c r="F11" s="48">
        <v>2777696</v>
      </c>
      <c r="G11" s="46">
        <f t="shared" si="3"/>
        <v>95102.74000000022</v>
      </c>
      <c r="H11" s="84">
        <f t="shared" si="1"/>
        <v>169062.66999999993</v>
      </c>
      <c r="I11" s="49"/>
      <c r="J11" s="49">
        <v>101685.429</v>
      </c>
      <c r="K11" s="68">
        <f t="shared" si="2"/>
        <v>67377.24099999992</v>
      </c>
    </row>
    <row r="12" spans="1:11" ht="12.75">
      <c r="A12" s="63" t="s">
        <v>11</v>
      </c>
      <c r="B12" s="48">
        <f>4934331</f>
        <v>4934331</v>
      </c>
      <c r="C12" s="48">
        <v>515.79</v>
      </c>
      <c r="D12" s="83">
        <f t="shared" si="0"/>
        <v>4934846.79</v>
      </c>
      <c r="E12" s="49">
        <v>4620168.089999999</v>
      </c>
      <c r="F12" s="48">
        <v>4471201</v>
      </c>
      <c r="G12" s="46">
        <f t="shared" si="3"/>
        <v>148967.08999999892</v>
      </c>
      <c r="H12" s="84">
        <f t="shared" si="1"/>
        <v>314678.7000000011</v>
      </c>
      <c r="I12" s="49"/>
      <c r="J12" s="49">
        <v>30876.641999999996</v>
      </c>
      <c r="K12" s="68">
        <f t="shared" si="2"/>
        <v>283802.0580000011</v>
      </c>
    </row>
    <row r="13" spans="1:11" ht="12.75">
      <c r="A13" s="63" t="s">
        <v>12</v>
      </c>
      <c r="B13" s="48">
        <f>1440906</f>
        <v>1440906</v>
      </c>
      <c r="C13" s="48">
        <v>0</v>
      </c>
      <c r="D13" s="83">
        <f t="shared" si="0"/>
        <v>1440906</v>
      </c>
      <c r="E13" s="49">
        <v>1258013.19</v>
      </c>
      <c r="F13" s="48">
        <v>1220194</v>
      </c>
      <c r="G13" s="46">
        <f t="shared" si="3"/>
        <v>37819.189999999944</v>
      </c>
      <c r="H13" s="84">
        <f t="shared" si="1"/>
        <v>182892.81000000006</v>
      </c>
      <c r="I13" s="49"/>
      <c r="J13" s="49">
        <v>121736.448</v>
      </c>
      <c r="K13" s="68">
        <f t="shared" si="2"/>
        <v>61156.36200000005</v>
      </c>
    </row>
    <row r="14" spans="1:11" ht="12.75">
      <c r="A14" s="63" t="s">
        <v>13</v>
      </c>
      <c r="B14" s="48">
        <f>3009246+21000</f>
        <v>3030246</v>
      </c>
      <c r="C14" s="48">
        <v>230782</v>
      </c>
      <c r="D14" s="83">
        <f t="shared" si="0"/>
        <v>3261028</v>
      </c>
      <c r="E14" s="49">
        <v>3343015.9900000007</v>
      </c>
      <c r="F14" s="48">
        <v>2849001</v>
      </c>
      <c r="G14" s="46">
        <f t="shared" si="3"/>
        <v>494014.9900000007</v>
      </c>
      <c r="H14" s="84">
        <f t="shared" si="1"/>
        <v>-81987.99000000069</v>
      </c>
      <c r="I14" s="49"/>
      <c r="J14" s="49">
        <v>71974.26000000001</v>
      </c>
      <c r="K14" s="68">
        <f t="shared" si="2"/>
        <v>-153962.2500000007</v>
      </c>
    </row>
    <row r="15" spans="1:11" ht="12.75">
      <c r="A15" s="63" t="s">
        <v>14</v>
      </c>
      <c r="B15" s="48">
        <f>4782730</f>
        <v>4782730</v>
      </c>
      <c r="C15" s="48">
        <v>31.58</v>
      </c>
      <c r="D15" s="83">
        <f t="shared" si="0"/>
        <v>4782761.58</v>
      </c>
      <c r="E15" s="49">
        <v>4538144.94</v>
      </c>
      <c r="F15" s="48">
        <v>4380650</v>
      </c>
      <c r="G15" s="46">
        <f t="shared" si="3"/>
        <v>157494.9400000004</v>
      </c>
      <c r="H15" s="84">
        <f t="shared" si="1"/>
        <v>244616.63999999966</v>
      </c>
      <c r="I15" s="49"/>
      <c r="J15" s="49">
        <v>97147.35900000001</v>
      </c>
      <c r="K15" s="68">
        <f t="shared" si="2"/>
        <v>147469.28099999967</v>
      </c>
    </row>
    <row r="16" spans="1:11" ht="12.75">
      <c r="A16" s="63" t="s">
        <v>15</v>
      </c>
      <c r="B16" s="48">
        <f>6742322+60000+67805+18636+77407-200000</f>
        <v>6766170</v>
      </c>
      <c r="C16" s="48">
        <v>489175</v>
      </c>
      <c r="D16" s="83">
        <f t="shared" si="0"/>
        <v>7255345</v>
      </c>
      <c r="E16" s="49">
        <v>7224876.88</v>
      </c>
      <c r="F16" s="48">
        <v>5335408</v>
      </c>
      <c r="G16" s="46">
        <f t="shared" si="3"/>
        <v>1889468.88</v>
      </c>
      <c r="H16" s="84">
        <f t="shared" si="1"/>
        <v>30468.12000000011</v>
      </c>
      <c r="I16" s="49">
        <f>69000*1.34</f>
        <v>92460</v>
      </c>
      <c r="J16" s="49">
        <v>132957.97199999995</v>
      </c>
      <c r="K16" s="68">
        <f t="shared" si="2"/>
        <v>-194949.85199999984</v>
      </c>
    </row>
    <row r="17" spans="1:11" ht="12.75">
      <c r="A17" s="63" t="s">
        <v>16</v>
      </c>
      <c r="B17" s="48">
        <f>2590670</f>
        <v>2590670</v>
      </c>
      <c r="C17" s="48">
        <v>277219</v>
      </c>
      <c r="D17" s="83">
        <f t="shared" si="0"/>
        <v>2867889</v>
      </c>
      <c r="E17" s="49">
        <v>2438880.66</v>
      </c>
      <c r="F17" s="48">
        <v>2421802</v>
      </c>
      <c r="G17" s="46">
        <f t="shared" si="3"/>
        <v>17078.66000000015</v>
      </c>
      <c r="H17" s="84">
        <f t="shared" si="1"/>
        <v>429008.33999999985</v>
      </c>
      <c r="I17" s="49"/>
      <c r="J17" s="49">
        <v>128615.06700000002</v>
      </c>
      <c r="K17" s="68">
        <f t="shared" si="2"/>
        <v>300393.2729999998</v>
      </c>
    </row>
    <row r="18" spans="1:11" ht="13.5" thickBot="1">
      <c r="A18" s="91" t="s">
        <v>17</v>
      </c>
      <c r="B18" s="92">
        <f>5193445-162135</f>
        <v>5031310</v>
      </c>
      <c r="C18" s="92">
        <v>2743.86</v>
      </c>
      <c r="D18" s="93">
        <f t="shared" si="0"/>
        <v>5034053.86</v>
      </c>
      <c r="E18" s="95">
        <v>4567129.600000001</v>
      </c>
      <c r="F18" s="92">
        <v>4560424</v>
      </c>
      <c r="G18" s="118">
        <f t="shared" si="3"/>
        <v>6705.600000000559</v>
      </c>
      <c r="H18" s="94">
        <f t="shared" si="1"/>
        <v>466924.2599999998</v>
      </c>
      <c r="I18" s="95"/>
      <c r="J18" s="95">
        <v>99037.38999999998</v>
      </c>
      <c r="K18" s="96">
        <f t="shared" si="2"/>
        <v>367886.86999999976</v>
      </c>
    </row>
    <row r="19" spans="1:11" ht="12.75">
      <c r="A19" s="111" t="s">
        <v>18</v>
      </c>
      <c r="B19" s="112"/>
      <c r="C19" s="112"/>
      <c r="D19" s="113">
        <f t="shared" si="0"/>
        <v>0</v>
      </c>
      <c r="E19" s="114">
        <v>966504.24</v>
      </c>
      <c r="F19" s="112">
        <v>956255</v>
      </c>
      <c r="G19" s="115">
        <f t="shared" si="3"/>
        <v>10249.23999999999</v>
      </c>
      <c r="H19" s="116">
        <f t="shared" si="1"/>
        <v>-966504.24</v>
      </c>
      <c r="I19" s="114"/>
      <c r="J19" s="114"/>
      <c r="K19" s="117">
        <f t="shared" si="2"/>
        <v>-966504.24</v>
      </c>
    </row>
    <row r="20" spans="1:11" ht="12.75">
      <c r="A20" s="63" t="s">
        <v>29</v>
      </c>
      <c r="B20" s="48"/>
      <c r="C20" s="48">
        <v>24000</v>
      </c>
      <c r="D20" s="83">
        <f t="shared" si="0"/>
        <v>24000</v>
      </c>
      <c r="E20" s="49">
        <v>19653.83</v>
      </c>
      <c r="F20" s="48">
        <v>19654</v>
      </c>
      <c r="G20" s="46">
        <f t="shared" si="3"/>
        <v>-0.16999999999825377</v>
      </c>
      <c r="H20" s="84">
        <f t="shared" si="1"/>
        <v>4346.169999999998</v>
      </c>
      <c r="I20" s="49"/>
      <c r="J20" s="49"/>
      <c r="K20" s="68">
        <f t="shared" si="2"/>
        <v>4346.169999999998</v>
      </c>
    </row>
    <row r="21" spans="1:11" ht="12.75">
      <c r="A21" s="63" t="s">
        <v>65</v>
      </c>
      <c r="B21" s="89"/>
      <c r="C21" s="48">
        <v>1884646.06</v>
      </c>
      <c r="D21" s="83">
        <f t="shared" si="0"/>
        <v>1884646.06</v>
      </c>
      <c r="E21" s="49">
        <v>1701092.61</v>
      </c>
      <c r="F21" s="48">
        <v>1207883</v>
      </c>
      <c r="G21" s="46">
        <f t="shared" si="3"/>
        <v>493209.6100000001</v>
      </c>
      <c r="H21" s="84">
        <f t="shared" si="1"/>
        <v>183553.44999999995</v>
      </c>
      <c r="I21" s="49"/>
      <c r="J21" s="49"/>
      <c r="K21" s="68">
        <f t="shared" si="2"/>
        <v>183553.44999999995</v>
      </c>
    </row>
    <row r="22" spans="1:11" ht="12.75">
      <c r="A22" s="63" t="s">
        <v>66</v>
      </c>
      <c r="B22" s="89">
        <v>16028667</v>
      </c>
      <c r="C22" s="90"/>
      <c r="D22" s="83">
        <f t="shared" si="0"/>
        <v>16028667</v>
      </c>
      <c r="E22" s="49">
        <v>10320171.17</v>
      </c>
      <c r="F22" s="48">
        <v>10252262</v>
      </c>
      <c r="G22" s="46">
        <f t="shared" si="3"/>
        <v>67909.16999999993</v>
      </c>
      <c r="H22" s="84">
        <f t="shared" si="1"/>
        <v>5708495.83</v>
      </c>
      <c r="I22" s="49">
        <v>150000</v>
      </c>
      <c r="J22" s="49"/>
      <c r="K22" s="68"/>
    </row>
    <row r="23" spans="1:11" ht="13.5" thickBot="1">
      <c r="A23" s="85" t="s">
        <v>51</v>
      </c>
      <c r="B23" s="86">
        <f>18743498-14535161</f>
        <v>4208337</v>
      </c>
      <c r="C23" s="86">
        <v>17359688</v>
      </c>
      <c r="D23" s="87">
        <f t="shared" si="0"/>
        <v>21568025</v>
      </c>
      <c r="E23" s="87">
        <v>14425561</v>
      </c>
      <c r="F23" s="86">
        <v>4551125</v>
      </c>
      <c r="G23" s="119">
        <f t="shared" si="3"/>
        <v>9874436</v>
      </c>
      <c r="H23" s="88">
        <f t="shared" si="1"/>
        <v>7142464</v>
      </c>
      <c r="I23" s="77">
        <v>20100</v>
      </c>
      <c r="J23" s="77"/>
      <c r="K23" s="78"/>
    </row>
    <row r="24" spans="1:11" ht="13.5" thickBot="1">
      <c r="A24" s="120" t="s">
        <v>21</v>
      </c>
      <c r="B24" s="121">
        <f aca="true" t="shared" si="4" ref="B24:J24">SUM(B3:B23)</f>
        <v>96949839.07</v>
      </c>
      <c r="C24" s="121">
        <f t="shared" si="4"/>
        <v>20704078.13</v>
      </c>
      <c r="D24" s="121">
        <f t="shared" si="4"/>
        <v>117653917.2</v>
      </c>
      <c r="E24" s="121">
        <f t="shared" si="4"/>
        <v>99222168.54999998</v>
      </c>
      <c r="F24" s="121">
        <f>SUM(F3:F23)</f>
        <v>84458162</v>
      </c>
      <c r="G24" s="121">
        <f>SUM(G3:G23)</f>
        <v>14764006.549999997</v>
      </c>
      <c r="H24" s="121">
        <f t="shared" si="4"/>
        <v>18431748.650000006</v>
      </c>
      <c r="I24" s="122">
        <f t="shared" si="4"/>
        <v>1000230</v>
      </c>
      <c r="J24" s="121">
        <f t="shared" si="4"/>
        <v>1218656.0739999998</v>
      </c>
      <c r="K24" s="123"/>
    </row>
    <row r="25" spans="1:11" ht="25.5">
      <c r="A25" s="72" t="s">
        <v>43</v>
      </c>
      <c r="B25" s="73"/>
      <c r="C25" s="73"/>
      <c r="D25" s="37">
        <v>2328882</v>
      </c>
      <c r="E25" s="37">
        <v>2385518</v>
      </c>
      <c r="F25" s="37"/>
      <c r="G25" s="37"/>
      <c r="H25" s="38">
        <f>D25-E25</f>
        <v>-56636</v>
      </c>
      <c r="I25" s="64"/>
      <c r="J25" s="5"/>
      <c r="K25" s="4"/>
    </row>
    <row r="26" spans="1:11" ht="26.25" thickBot="1">
      <c r="A26" s="74" t="s">
        <v>56</v>
      </c>
      <c r="B26" s="75"/>
      <c r="C26" s="75"/>
      <c r="D26" s="75">
        <v>1924799.54</v>
      </c>
      <c r="E26" s="75">
        <v>1694045</v>
      </c>
      <c r="F26" s="75"/>
      <c r="G26" s="75"/>
      <c r="H26" s="76">
        <f>D26-E26</f>
        <v>230754.54000000004</v>
      </c>
      <c r="I26" s="58"/>
      <c r="J26" s="4"/>
      <c r="K26" s="4"/>
    </row>
    <row r="27" spans="1:11" ht="19.5" thickBot="1">
      <c r="A27" s="69" t="s">
        <v>44</v>
      </c>
      <c r="B27" s="70">
        <f>SUM(B24:B26)</f>
        <v>96949839.07</v>
      </c>
      <c r="C27" s="70">
        <f>SUM(C24:C26)</f>
        <v>20704078.13</v>
      </c>
      <c r="D27" s="70">
        <f>SUM(D24:D26)</f>
        <v>121907598.74000001</v>
      </c>
      <c r="E27" s="70">
        <f>SUM(E24:E26)</f>
        <v>103301731.54999998</v>
      </c>
      <c r="F27" s="70">
        <f>SUM(F24:F26)</f>
        <v>84458162</v>
      </c>
      <c r="G27" s="70">
        <f>SUM(C27:F27)</f>
        <v>330371570.41999996</v>
      </c>
      <c r="H27" s="71">
        <f>SUM(H24:H26)</f>
        <v>18605867.190000005</v>
      </c>
      <c r="I27" s="65"/>
      <c r="J27" s="5"/>
      <c r="K27" s="4"/>
    </row>
    <row r="28" spans="1:11" ht="12.75">
      <c r="A28" s="31"/>
      <c r="B28" s="32"/>
      <c r="C28" s="55"/>
      <c r="D28" s="59"/>
      <c r="E28" s="4"/>
      <c r="F28" s="32"/>
      <c r="G28" s="32"/>
      <c r="H28" s="33"/>
      <c r="I28" s="22"/>
      <c r="J28" s="4"/>
      <c r="K28" s="4"/>
    </row>
    <row r="29" spans="6:10" ht="12.75">
      <c r="F29" s="6"/>
      <c r="J29" s="6"/>
    </row>
    <row r="31" ht="12.75">
      <c r="J31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8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421875" style="0" customWidth="1"/>
    <col min="2" max="2" width="42.57421875" style="0" customWidth="1"/>
    <col min="3" max="3" width="13.00390625" style="6" customWidth="1"/>
    <col min="4" max="5" width="10.8515625" style="0" customWidth="1"/>
    <col min="6" max="6" width="11.140625" style="0" customWidth="1"/>
    <col min="7" max="8" width="10.7109375" style="0" customWidth="1"/>
    <col min="9" max="9" width="10.57421875" style="0" customWidth="1"/>
    <col min="10" max="10" width="12.140625" style="0" customWidth="1"/>
    <col min="11" max="11" width="10.140625" style="0" bestFit="1" customWidth="1"/>
  </cols>
  <sheetData>
    <row r="1" spans="2:5" ht="48" customHeight="1" thickBot="1">
      <c r="B1" s="61" t="s">
        <v>61</v>
      </c>
      <c r="D1" s="20"/>
      <c r="E1" s="20"/>
    </row>
    <row r="2" spans="2:21" ht="37.5" customHeight="1" thickBot="1">
      <c r="B2" s="130" t="s">
        <v>101</v>
      </c>
      <c r="C2" s="107" t="s">
        <v>2</v>
      </c>
      <c r="D2" s="108" t="s">
        <v>4</v>
      </c>
      <c r="E2" s="108" t="s">
        <v>6</v>
      </c>
      <c r="F2" s="108" t="s">
        <v>7</v>
      </c>
      <c r="G2" s="109" t="s">
        <v>8</v>
      </c>
      <c r="H2" s="109" t="s">
        <v>9</v>
      </c>
      <c r="I2" s="109" t="s">
        <v>15</v>
      </c>
      <c r="J2" s="103" t="s">
        <v>13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24" customHeight="1">
      <c r="B3" s="131" t="s">
        <v>75</v>
      </c>
      <c r="C3" s="97">
        <v>15072339.819175059</v>
      </c>
      <c r="D3" s="98"/>
      <c r="E3" s="98"/>
      <c r="F3" s="98"/>
      <c r="G3" s="98"/>
      <c r="H3" s="98"/>
      <c r="I3" s="98"/>
      <c r="J3" s="13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21.75" customHeight="1">
      <c r="B4" s="133" t="s">
        <v>76</v>
      </c>
      <c r="C4" s="99">
        <v>-35461709.88900077</v>
      </c>
      <c r="D4" s="56"/>
      <c r="E4" s="56"/>
      <c r="F4" s="56"/>
      <c r="G4" s="56"/>
      <c r="H4" s="56"/>
      <c r="I4" s="56"/>
      <c r="J4" s="134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1.75" customHeight="1">
      <c r="B5" s="133" t="s">
        <v>77</v>
      </c>
      <c r="C5" s="99">
        <v>-900410.7876589532</v>
      </c>
      <c r="D5" s="56"/>
      <c r="E5" s="56"/>
      <c r="F5" s="56"/>
      <c r="G5" s="56"/>
      <c r="H5" s="56"/>
      <c r="I5" s="56"/>
      <c r="J5" s="134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21.75" customHeight="1">
      <c r="B6" s="133" t="s">
        <v>68</v>
      </c>
      <c r="C6" s="99">
        <v>800424.6013640016</v>
      </c>
      <c r="D6" s="56"/>
      <c r="E6" s="56"/>
      <c r="F6" s="56"/>
      <c r="G6" s="56"/>
      <c r="H6" s="56"/>
      <c r="I6" s="56"/>
      <c r="J6" s="134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21.75" customHeight="1">
      <c r="B7" s="133" t="s">
        <v>52</v>
      </c>
      <c r="C7" s="99">
        <v>-43072</v>
      </c>
      <c r="D7" s="56"/>
      <c r="E7" s="56"/>
      <c r="F7" s="56"/>
      <c r="G7" s="56"/>
      <c r="H7" s="56"/>
      <c r="I7" s="56"/>
      <c r="J7" s="134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21.75" customHeight="1">
      <c r="B8" s="135" t="s">
        <v>78</v>
      </c>
      <c r="C8" s="100">
        <v>-244.77000000000004</v>
      </c>
      <c r="D8" s="56"/>
      <c r="E8" s="56"/>
      <c r="F8" s="56"/>
      <c r="G8" s="56"/>
      <c r="H8" s="56"/>
      <c r="I8" s="56"/>
      <c r="J8" s="134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21.75" customHeight="1">
      <c r="B9" s="135" t="s">
        <v>42</v>
      </c>
      <c r="C9" s="100">
        <v>-30811.854</v>
      </c>
      <c r="D9" s="56"/>
      <c r="E9" s="56"/>
      <c r="F9" s="56"/>
      <c r="G9" s="56"/>
      <c r="H9" s="56"/>
      <c r="I9" s="56"/>
      <c r="J9" s="134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21.75" customHeight="1">
      <c r="B10" s="133" t="s">
        <v>79</v>
      </c>
      <c r="C10" s="99">
        <v>70407</v>
      </c>
      <c r="D10" s="56"/>
      <c r="E10" s="56"/>
      <c r="F10" s="56"/>
      <c r="G10" s="46"/>
      <c r="H10" s="46"/>
      <c r="I10" s="46"/>
      <c r="J10" s="13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21.75" customHeight="1">
      <c r="B11" s="135" t="s">
        <v>82</v>
      </c>
      <c r="C11" s="100">
        <v>4583695.49</v>
      </c>
      <c r="D11" s="56">
        <v>104857.21</v>
      </c>
      <c r="E11" s="56">
        <v>109309.95</v>
      </c>
      <c r="F11" s="56">
        <v>290238.31</v>
      </c>
      <c r="G11" s="56">
        <v>69000</v>
      </c>
      <c r="H11" s="56">
        <v>228398.6</v>
      </c>
      <c r="I11" s="56"/>
      <c r="J11" s="134">
        <v>21000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21.75" customHeight="1">
      <c r="B12" s="136" t="s">
        <v>100</v>
      </c>
      <c r="C12" s="101"/>
      <c r="D12" s="56"/>
      <c r="E12" s="56"/>
      <c r="F12" s="56"/>
      <c r="G12" s="56"/>
      <c r="H12" s="56"/>
      <c r="I12" s="56">
        <v>223848</v>
      </c>
      <c r="J12" s="13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21.75" customHeight="1">
      <c r="B13" s="136" t="s">
        <v>80</v>
      </c>
      <c r="C13" s="101"/>
      <c r="D13" s="56"/>
      <c r="E13" s="56"/>
      <c r="F13" s="56">
        <v>-390000</v>
      </c>
      <c r="G13" s="56"/>
      <c r="H13" s="56"/>
      <c r="I13" s="56"/>
      <c r="J13" s="13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21.75" customHeight="1">
      <c r="B14" s="136" t="s">
        <v>69</v>
      </c>
      <c r="C14" s="101"/>
      <c r="D14" s="56"/>
      <c r="E14" s="56"/>
      <c r="F14" s="56"/>
      <c r="G14" s="56"/>
      <c r="H14" s="56"/>
      <c r="I14" s="56">
        <v>-200000</v>
      </c>
      <c r="J14" s="13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21.75" customHeight="1" thickBot="1">
      <c r="B15" s="137" t="s">
        <v>85</v>
      </c>
      <c r="C15" s="102">
        <f>'[2]Náklady'!$G$5265-'[2]Výnosy'!$G$772</f>
        <v>917570</v>
      </c>
      <c r="D15" s="104"/>
      <c r="E15" s="104"/>
      <c r="F15" s="104"/>
      <c r="G15" s="104"/>
      <c r="H15" s="104"/>
      <c r="I15" s="104"/>
      <c r="J15" s="1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32.25" customHeight="1" thickBot="1">
      <c r="B16" s="110" t="s">
        <v>102</v>
      </c>
      <c r="C16" s="105">
        <f>SUM(C3:C15)</f>
        <v>-14991812.390120665</v>
      </c>
      <c r="D16" s="106">
        <f>SUM(D3:D14)</f>
        <v>104857.21</v>
      </c>
      <c r="E16" s="106">
        <f>SUM(E3:E14)</f>
        <v>109309.95</v>
      </c>
      <c r="F16" s="106">
        <f>SUM(F3:F14)</f>
        <v>-99761.69</v>
      </c>
      <c r="G16" s="106">
        <f>SUM(G3:G14)</f>
        <v>69000</v>
      </c>
      <c r="H16" s="106">
        <f>SUM(H10:H14)</f>
        <v>228398.6</v>
      </c>
      <c r="I16" s="106">
        <f>SUM(I3:I14)</f>
        <v>23848</v>
      </c>
      <c r="J16" s="139">
        <f>SUM(J3:J14)</f>
        <v>21000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33.75" customHeight="1" thickBot="1">
      <c r="B17" s="110" t="s">
        <v>103</v>
      </c>
      <c r="C17" s="128"/>
      <c r="D17" s="129"/>
      <c r="E17" s="129"/>
      <c r="F17" s="129"/>
      <c r="G17" s="129"/>
      <c r="H17" s="129"/>
      <c r="I17" s="129"/>
      <c r="J17" s="140">
        <f>C16+D16+E16+F16+G16+H16+I16+J16</f>
        <v>-14535160.320120664</v>
      </c>
      <c r="K17" s="57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1:21" ht="12.7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43.28125" style="0" customWidth="1"/>
    <col min="2" max="2" width="17.7109375" style="0" customWidth="1"/>
    <col min="3" max="3" width="16.421875" style="0" customWidth="1"/>
    <col min="4" max="4" width="16.57421875" style="0" customWidth="1"/>
    <col min="5" max="5" width="9.421875" style="0" customWidth="1"/>
  </cols>
  <sheetData>
    <row r="1" ht="30" customHeight="1" thickBot="1">
      <c r="A1" s="20" t="s">
        <v>62</v>
      </c>
    </row>
    <row r="2" spans="1:4" ht="33.75" customHeight="1" thickBot="1">
      <c r="A2" s="141" t="s">
        <v>71</v>
      </c>
      <c r="B2" s="25" t="s">
        <v>110</v>
      </c>
      <c r="C2" s="145" t="s">
        <v>111</v>
      </c>
      <c r="D2" s="25" t="s">
        <v>112</v>
      </c>
    </row>
    <row r="3" spans="1:4" ht="21.75" customHeight="1">
      <c r="A3" s="7" t="s">
        <v>89</v>
      </c>
      <c r="B3" s="8">
        <v>16612</v>
      </c>
      <c r="C3" s="146"/>
      <c r="D3" s="8"/>
    </row>
    <row r="4" spans="1:4" ht="21.75" customHeight="1">
      <c r="A4" s="7" t="s">
        <v>91</v>
      </c>
      <c r="B4" s="2">
        <v>33268</v>
      </c>
      <c r="C4" s="147">
        <v>7231</v>
      </c>
      <c r="D4" s="2"/>
    </row>
    <row r="5" spans="1:4" ht="21.75" customHeight="1">
      <c r="A5" s="7" t="s">
        <v>114</v>
      </c>
      <c r="B5" s="2">
        <v>7434</v>
      </c>
      <c r="C5" s="147">
        <v>115090</v>
      </c>
      <c r="D5" s="2"/>
    </row>
    <row r="6" spans="1:5" ht="21.75" customHeight="1">
      <c r="A6" s="7" t="s">
        <v>70</v>
      </c>
      <c r="B6" s="2">
        <v>131438</v>
      </c>
      <c r="C6" s="147">
        <v>210157</v>
      </c>
      <c r="D6" s="2">
        <v>60589</v>
      </c>
      <c r="E6" s="42"/>
    </row>
    <row r="7" spans="1:4" ht="21.75" customHeight="1">
      <c r="A7" s="7" t="s">
        <v>73</v>
      </c>
      <c r="B7" s="2">
        <v>66450</v>
      </c>
      <c r="C7" s="147"/>
      <c r="D7" s="2"/>
    </row>
    <row r="8" spans="1:4" ht="21.75" customHeight="1">
      <c r="A8" s="7" t="s">
        <v>53</v>
      </c>
      <c r="B8" s="2">
        <v>55126</v>
      </c>
      <c r="C8" s="147"/>
      <c r="D8" s="2"/>
    </row>
    <row r="9" spans="1:4" ht="38.25" customHeight="1">
      <c r="A9" s="67" t="s">
        <v>92</v>
      </c>
      <c r="B9" s="2">
        <v>145767</v>
      </c>
      <c r="C9" s="147">
        <v>146793</v>
      </c>
      <c r="D9" s="2"/>
    </row>
    <row r="10" spans="1:4" ht="26.25" customHeight="1">
      <c r="A10" s="67" t="s">
        <v>113</v>
      </c>
      <c r="B10" s="2">
        <v>21612</v>
      </c>
      <c r="C10" s="147"/>
      <c r="D10" s="2"/>
    </row>
    <row r="11" spans="1:4" ht="23.25" customHeight="1">
      <c r="A11" s="7" t="s">
        <v>90</v>
      </c>
      <c r="B11" s="2">
        <f>4551125-B13</f>
        <v>4369925</v>
      </c>
      <c r="C11" s="147">
        <v>1172923</v>
      </c>
      <c r="D11" s="2"/>
    </row>
    <row r="12" spans="1:4" ht="21.75" customHeight="1">
      <c r="A12" s="7" t="s">
        <v>72</v>
      </c>
      <c r="B12" s="2"/>
      <c r="C12" s="147"/>
      <c r="D12" s="2">
        <v>10249582</v>
      </c>
    </row>
    <row r="13" spans="1:7" ht="21.75" customHeight="1">
      <c r="A13" s="21" t="s">
        <v>54</v>
      </c>
      <c r="B13" s="3">
        <v>181200</v>
      </c>
      <c r="C13" s="148">
        <v>34660</v>
      </c>
      <c r="D13" s="3"/>
      <c r="G13" s="6"/>
    </row>
    <row r="14" spans="1:7" ht="21.75" customHeight="1">
      <c r="A14" s="7" t="s">
        <v>109</v>
      </c>
      <c r="B14" s="2">
        <f>2548445+280152+246000</f>
        <v>3074597</v>
      </c>
      <c r="C14" s="147"/>
      <c r="D14" s="2"/>
      <c r="G14" s="6"/>
    </row>
    <row r="15" spans="1:7" ht="21.75" customHeight="1">
      <c r="A15" s="7" t="s">
        <v>88</v>
      </c>
      <c r="B15" s="2">
        <v>5183013</v>
      </c>
      <c r="C15" s="147"/>
      <c r="D15" s="2"/>
      <c r="G15" s="6"/>
    </row>
    <row r="16" spans="1:7" ht="21.75" customHeight="1">
      <c r="A16" s="7" t="s">
        <v>115</v>
      </c>
      <c r="B16" s="2">
        <f>73000+801014</f>
        <v>874014</v>
      </c>
      <c r="C16" s="147"/>
      <c r="D16" s="2"/>
      <c r="G16" s="6"/>
    </row>
    <row r="17" spans="1:4" ht="21.75" customHeight="1">
      <c r="A17" s="7" t="s">
        <v>116</v>
      </c>
      <c r="B17" s="2">
        <v>230754</v>
      </c>
      <c r="C17" s="147"/>
      <c r="D17" s="2"/>
    </row>
    <row r="18" spans="1:4" ht="21.75" customHeight="1">
      <c r="A18" s="142" t="s">
        <v>117</v>
      </c>
      <c r="B18" s="3">
        <v>7138</v>
      </c>
      <c r="C18" s="148"/>
      <c r="D18" s="3">
        <v>10000</v>
      </c>
    </row>
    <row r="19" spans="1:4" ht="21.75" customHeight="1" thickBot="1">
      <c r="A19" s="143" t="s">
        <v>118</v>
      </c>
      <c r="B19" s="144">
        <v>27213</v>
      </c>
      <c r="C19" s="149">
        <v>14239</v>
      </c>
      <c r="D19" s="144"/>
    </row>
    <row r="20" spans="1:6" ht="35.25" customHeight="1" thickBot="1">
      <c r="A20" s="141" t="s">
        <v>19</v>
      </c>
      <c r="B20" s="26">
        <f>SUM(B3:B19)</f>
        <v>14425561</v>
      </c>
      <c r="C20" s="150">
        <f>SUM(C4:C19)</f>
        <v>1701093</v>
      </c>
      <c r="D20" s="26">
        <f>SUM(D4:D19)</f>
        <v>10320171</v>
      </c>
      <c r="F20" s="6"/>
    </row>
    <row r="22" spans="2:3" ht="12.75">
      <c r="B22" s="6"/>
      <c r="C22" s="6"/>
    </row>
  </sheetData>
  <sheetProtection/>
  <printOptions/>
  <pageMargins left="0.7086614173228346" right="0.7086614173228346" top="0.59" bottom="0.46" header="0.31496062992125984" footer="0.31496062992125984"/>
  <pageSetup fitToHeight="0" fitToWidth="0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1.57421875" style="0" customWidth="1"/>
    <col min="2" max="2" width="22.28125" style="0" customWidth="1"/>
    <col min="3" max="3" width="5.28125" style="1" customWidth="1"/>
    <col min="5" max="5" width="9.140625" style="0" customWidth="1"/>
  </cols>
  <sheetData>
    <row r="2" ht="24" customHeight="1" thickBot="1">
      <c r="A2" s="20" t="s">
        <v>63</v>
      </c>
    </row>
    <row r="3" spans="1:2" ht="19.5" thickBot="1">
      <c r="A3" s="27" t="s">
        <v>93</v>
      </c>
      <c r="B3" s="28"/>
    </row>
    <row r="4" spans="1:2" ht="18.75">
      <c r="A4" s="11" t="s">
        <v>30</v>
      </c>
      <c r="B4" s="13">
        <f>'[1]INV'!$E$4+'[1]INV'!$E$5</f>
        <v>1973212.5900000017</v>
      </c>
    </row>
    <row r="5" spans="1:2" ht="18.75">
      <c r="A5" s="12" t="s">
        <v>26</v>
      </c>
      <c r="B5" s="13">
        <f>B4-B6</f>
        <v>186315.31000000006</v>
      </c>
    </row>
    <row r="6" spans="1:2" ht="19.5" thickBot="1">
      <c r="A6" s="14" t="s">
        <v>27</v>
      </c>
      <c r="B6" s="39">
        <v>1786897.2800000017</v>
      </c>
    </row>
    <row r="7" spans="1:2" ht="19.5" thickBot="1">
      <c r="A7" s="18" t="s">
        <v>28</v>
      </c>
      <c r="B7" s="10"/>
    </row>
    <row r="8" spans="1:2" ht="18.75">
      <c r="A8" s="11" t="s">
        <v>96</v>
      </c>
      <c r="B8" s="29">
        <v>3073</v>
      </c>
    </row>
    <row r="9" spans="1:2" ht="18.75">
      <c r="A9" s="12" t="s">
        <v>98</v>
      </c>
      <c r="B9" s="30">
        <v>110160</v>
      </c>
    </row>
    <row r="10" spans="1:2" ht="18.75">
      <c r="A10" s="12" t="s">
        <v>95</v>
      </c>
      <c r="B10" s="41">
        <v>4526.6</v>
      </c>
    </row>
    <row r="11" spans="1:2" ht="18.75">
      <c r="A11" s="12" t="s">
        <v>97</v>
      </c>
      <c r="B11" s="41">
        <v>2065.38</v>
      </c>
    </row>
    <row r="12" spans="1:2" ht="18.75">
      <c r="A12" s="12" t="s">
        <v>81</v>
      </c>
      <c r="B12" s="41">
        <v>2040.72</v>
      </c>
    </row>
    <row r="13" spans="1:4" ht="18.75">
      <c r="A13" s="12" t="s">
        <v>81</v>
      </c>
      <c r="B13" s="41">
        <v>63772.61</v>
      </c>
      <c r="D13" s="1"/>
    </row>
    <row r="14" spans="1:2" ht="19.5" thickBot="1">
      <c r="A14" s="14" t="s">
        <v>94</v>
      </c>
      <c r="B14" s="66">
        <v>677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C26" sqref="C26"/>
    </sheetView>
  </sheetViews>
  <sheetFormatPr defaultColWidth="9.140625" defaultRowHeight="12.75"/>
  <cols>
    <col min="1" max="1" width="32.57421875" style="0" customWidth="1"/>
    <col min="2" max="2" width="36.00390625" style="0" customWidth="1"/>
    <col min="5" max="5" width="10.140625" style="0" bestFit="1" customWidth="1"/>
  </cols>
  <sheetData>
    <row r="1" ht="36" customHeight="1">
      <c r="A1" s="20" t="s">
        <v>64</v>
      </c>
    </row>
    <row r="2" spans="1:2" ht="24" customHeight="1">
      <c r="A2" s="34" t="s">
        <v>48</v>
      </c>
      <c r="B2" s="35"/>
    </row>
    <row r="3" spans="1:2" ht="22.5" customHeight="1">
      <c r="A3" s="23" t="s">
        <v>50</v>
      </c>
      <c r="B3" s="51">
        <v>43990273</v>
      </c>
    </row>
    <row r="4" spans="1:5" ht="21.75" customHeight="1">
      <c r="A4" s="23" t="s">
        <v>26</v>
      </c>
      <c r="B4" s="51">
        <v>43990545</v>
      </c>
      <c r="E4" s="6"/>
    </row>
    <row r="5" spans="1:2" ht="24" customHeight="1">
      <c r="A5" s="23" t="s">
        <v>46</v>
      </c>
      <c r="B5" s="40">
        <f>B3-B4</f>
        <v>-272</v>
      </c>
    </row>
    <row r="6" spans="1:2" ht="9.75" customHeight="1">
      <c r="A6" s="9"/>
      <c r="B6" s="10"/>
    </row>
    <row r="7" spans="1:2" ht="24.75" customHeight="1">
      <c r="A7" s="34" t="s">
        <v>49</v>
      </c>
      <c r="B7" s="36"/>
    </row>
    <row r="8" spans="1:2" ht="24.75" customHeight="1">
      <c r="A8" s="23" t="s">
        <v>45</v>
      </c>
      <c r="B8" s="51">
        <v>1353404</v>
      </c>
    </row>
    <row r="9" spans="1:2" ht="26.25" customHeight="1">
      <c r="A9" s="23" t="s">
        <v>26</v>
      </c>
      <c r="B9" s="51">
        <v>824060</v>
      </c>
    </row>
    <row r="10" spans="1:2" ht="26.25" customHeight="1">
      <c r="A10" s="23" t="s">
        <v>86</v>
      </c>
      <c r="B10" s="51">
        <v>42348</v>
      </c>
    </row>
    <row r="11" spans="1:2" ht="28.5" customHeight="1">
      <c r="A11" s="23" t="s">
        <v>27</v>
      </c>
      <c r="B11" s="40">
        <f>B8-B9-B10</f>
        <v>486996</v>
      </c>
    </row>
    <row r="12" spans="1:2" ht="12" customHeight="1">
      <c r="A12" s="9"/>
      <c r="B12" s="10"/>
    </row>
    <row r="13" spans="1:4" ht="24.75" customHeight="1">
      <c r="A13" s="34" t="s">
        <v>74</v>
      </c>
      <c r="B13" s="35"/>
      <c r="D13" s="6"/>
    </row>
    <row r="14" spans="1:4" ht="23.25" customHeight="1">
      <c r="A14" s="23" t="s">
        <v>45</v>
      </c>
      <c r="B14" s="24">
        <f>291753+284542+303594</f>
        <v>879889</v>
      </c>
      <c r="D14" s="6"/>
    </row>
    <row r="15" spans="1:4" ht="22.5" customHeight="1">
      <c r="A15" s="23" t="s">
        <v>26</v>
      </c>
      <c r="B15" s="24">
        <f>291543+284542+303594</f>
        <v>879679</v>
      </c>
      <c r="D15" s="6"/>
    </row>
    <row r="16" spans="1:4" ht="24.75" customHeight="1">
      <c r="A16" s="23" t="s">
        <v>27</v>
      </c>
      <c r="B16" s="40">
        <f>B14-B15</f>
        <v>210</v>
      </c>
      <c r="C16" s="6"/>
      <c r="D16" s="6"/>
    </row>
    <row r="18" spans="1:4" ht="24.75" customHeight="1">
      <c r="A18" s="34" t="s">
        <v>47</v>
      </c>
      <c r="B18" s="35"/>
      <c r="D18" s="6"/>
    </row>
    <row r="19" spans="1:4" ht="23.25" customHeight="1">
      <c r="A19" s="23" t="s">
        <v>45</v>
      </c>
      <c r="B19" s="24">
        <v>5094352</v>
      </c>
      <c r="D19" s="6"/>
    </row>
    <row r="20" spans="1:4" ht="22.5" customHeight="1">
      <c r="A20" s="23" t="s">
        <v>26</v>
      </c>
      <c r="B20" s="24">
        <v>2548445</v>
      </c>
      <c r="D20" s="6"/>
    </row>
    <row r="21" spans="1:3" ht="24.75" customHeight="1">
      <c r="A21" s="23" t="s">
        <v>55</v>
      </c>
      <c r="B21" s="40">
        <f>B19-B20</f>
        <v>2545907</v>
      </c>
      <c r="C2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Sovová Ilona</dc:creator>
  <cp:keywords/>
  <dc:description/>
  <cp:lastModifiedBy>Ilona Sovová</cp:lastModifiedBy>
  <cp:lastPrinted>2013-05-06T11:19:27Z</cp:lastPrinted>
  <dcterms:created xsi:type="dcterms:W3CDTF">2009-02-16T14:16:31Z</dcterms:created>
  <dcterms:modified xsi:type="dcterms:W3CDTF">2013-05-27T08:07:01Z</dcterms:modified>
  <cp:category/>
  <cp:version/>
  <cp:contentType/>
  <cp:contentStatus/>
</cp:coreProperties>
</file>